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5" windowWidth="11865" windowHeight="12240" tabRatio="666"/>
  </bookViews>
  <sheets>
    <sheet name="Introduction" sheetId="9" r:id="rId1"/>
    <sheet name="Data inputs" sheetId="7" r:id="rId2"/>
    <sheet name="Consolidated tables" sheetId="8" state="hidden" r:id="rId3"/>
    <sheet name="Sugden End example" sheetId="20" r:id="rId4"/>
    <sheet name="Docking 2 example" sheetId="18" r:id="rId5"/>
    <sheet name="Otterspool example" sheetId="21" r:id="rId6"/>
    <sheet name="Strumpshaw example" sheetId="19" r:id="rId7"/>
    <sheet name="Maesbury Road example" sheetId="22" r:id="rId8"/>
  </sheets>
  <calcPr calcId="125725"/>
</workbook>
</file>

<file path=xl/calcChain.xml><?xml version="1.0" encoding="utf-8"?>
<calcChain xmlns="http://schemas.openxmlformats.org/spreadsheetml/2006/main">
  <c r="G4" i="8"/>
  <c r="C47" i="22" l="1"/>
  <c r="D39"/>
  <c r="V17"/>
  <c r="V18" s="1"/>
  <c r="AN47"/>
  <c r="AN23"/>
  <c r="AN40"/>
  <c r="AN24"/>
  <c r="AN32"/>
  <c r="AN35"/>
  <c r="AN36"/>
  <c r="AN28"/>
  <c r="AN16"/>
  <c r="AN42"/>
  <c r="AN37"/>
  <c r="AN46"/>
  <c r="AN22"/>
  <c r="AN25"/>
  <c r="AN27"/>
  <c r="AN31"/>
  <c r="AN34"/>
  <c r="AN44"/>
  <c r="AN41"/>
  <c r="AN30"/>
  <c r="AN21"/>
  <c r="AN39"/>
  <c r="AN18"/>
  <c r="AN49"/>
  <c r="AN38"/>
  <c r="AN20"/>
  <c r="AN26"/>
  <c r="AN45"/>
  <c r="AN48"/>
  <c r="AN19"/>
  <c r="AN33"/>
  <c r="AN43"/>
  <c r="AN50"/>
  <c r="AN29"/>
  <c r="AN17"/>
  <c r="V19" l="1"/>
  <c r="AN15"/>
  <c r="V20" l="1"/>
  <c r="AN14"/>
  <c r="V21" l="1"/>
  <c r="AN13"/>
  <c r="V22" l="1"/>
  <c r="AN12"/>
  <c r="V23" l="1"/>
  <c r="AN11"/>
  <c r="V24" l="1"/>
  <c r="AN10"/>
  <c r="V25" l="1"/>
  <c r="AK10"/>
  <c r="AK15" s="1"/>
  <c r="AK20" s="1"/>
  <c r="AK25" s="1"/>
  <c r="AK30" s="1"/>
  <c r="AK35" s="1"/>
  <c r="AK40" s="1"/>
  <c r="AK45" s="1"/>
  <c r="AK50" s="1"/>
  <c r="AN9"/>
  <c r="V26" l="1"/>
  <c r="AK9"/>
  <c r="AK14" s="1"/>
  <c r="AK19" s="1"/>
  <c r="AK24" s="1"/>
  <c r="AK29" s="1"/>
  <c r="AK34" s="1"/>
  <c r="AK39" s="1"/>
  <c r="AK44" s="1"/>
  <c r="AK49" s="1"/>
  <c r="AN8"/>
  <c r="V27" l="1"/>
  <c r="AK8"/>
  <c r="AK13" s="1"/>
  <c r="AK18" s="1"/>
  <c r="AK23" s="1"/>
  <c r="AK28" s="1"/>
  <c r="AK33" s="1"/>
  <c r="AK38" s="1"/>
  <c r="AK43" s="1"/>
  <c r="AK48" s="1"/>
  <c r="AN7"/>
  <c r="V28" l="1"/>
  <c r="AK7"/>
  <c r="AK12" s="1"/>
  <c r="AK17" s="1"/>
  <c r="AK22" s="1"/>
  <c r="AK27" s="1"/>
  <c r="AK32" s="1"/>
  <c r="AK37" s="1"/>
  <c r="AK42" s="1"/>
  <c r="AK47" s="1"/>
  <c r="AN6"/>
  <c r="V29" l="1"/>
  <c r="AK6"/>
  <c r="AK11" s="1"/>
  <c r="AK16" s="1"/>
  <c r="AK21" s="1"/>
  <c r="AK26" s="1"/>
  <c r="AK31" s="1"/>
  <c r="AK36" s="1"/>
  <c r="AK41" s="1"/>
  <c r="AK46" s="1"/>
  <c r="AN5"/>
  <c r="AN4"/>
  <c r="V30" l="1"/>
  <c r="G4"/>
  <c r="AN3"/>
  <c r="AN2"/>
  <c r="V31" l="1"/>
  <c r="G2"/>
  <c r="D2"/>
  <c r="AN1"/>
  <c r="Z17" l="1"/>
  <c r="AA17" s="1"/>
  <c r="AD17" s="1"/>
  <c r="Z18"/>
  <c r="Z19"/>
  <c r="Z20"/>
  <c r="Z21"/>
  <c r="Z22"/>
  <c r="Z23"/>
  <c r="T10"/>
  <c r="T1" s="1"/>
  <c r="Z24"/>
  <c r="Z25"/>
  <c r="Z26"/>
  <c r="Z27"/>
  <c r="Z28"/>
  <c r="Z29"/>
  <c r="V32"/>
  <c r="Z31"/>
  <c r="Z30"/>
  <c r="AL43"/>
  <c r="AL10"/>
  <c r="AL33"/>
  <c r="AL39"/>
  <c r="AL4"/>
  <c r="AL40"/>
  <c r="AL15"/>
  <c r="AN48" i="21"/>
  <c r="AL46" i="22"/>
  <c r="AL19"/>
  <c r="AL24"/>
  <c r="AN47" i="21"/>
  <c r="AL30" i="22"/>
  <c r="AL36"/>
  <c r="AL11"/>
  <c r="AL45"/>
  <c r="AL42"/>
  <c r="AL44"/>
  <c r="AL48"/>
  <c r="AL35"/>
  <c r="AL17"/>
  <c r="AL47"/>
  <c r="AL14"/>
  <c r="AL41"/>
  <c r="AL5"/>
  <c r="AL25"/>
  <c r="AL8"/>
  <c r="AN49" i="21"/>
  <c r="AL27" i="22"/>
  <c r="AL7"/>
  <c r="AL28"/>
  <c r="AL20"/>
  <c r="AL18"/>
  <c r="AL13"/>
  <c r="AL26"/>
  <c r="AL12"/>
  <c r="AL16"/>
  <c r="AL3"/>
  <c r="AL34"/>
  <c r="AL31"/>
  <c r="AL32"/>
  <c r="AL9"/>
  <c r="AL23"/>
  <c r="AL38"/>
  <c r="AN50" i="21"/>
  <c r="AL49" i="22"/>
  <c r="AL22"/>
  <c r="AL50"/>
  <c r="AL1"/>
  <c r="AL29"/>
  <c r="AL21"/>
  <c r="AL37"/>
  <c r="AA18" l="1"/>
  <c r="AD18" s="1"/>
  <c r="W66"/>
  <c r="W65"/>
  <c r="W64"/>
  <c r="W63"/>
  <c r="W62"/>
  <c r="W61"/>
  <c r="W60"/>
  <c r="W59"/>
  <c r="W58"/>
  <c r="W57"/>
  <c r="W56"/>
  <c r="W55"/>
  <c r="W54"/>
  <c r="W53"/>
  <c r="W52"/>
  <c r="W51"/>
  <c r="W50"/>
  <c r="W49"/>
  <c r="W48"/>
  <c r="W47"/>
  <c r="W46"/>
  <c r="W45"/>
  <c r="W44"/>
  <c r="W43"/>
  <c r="W42"/>
  <c r="W41"/>
  <c r="W40"/>
  <c r="W39"/>
  <c r="W38"/>
  <c r="W37"/>
  <c r="W36"/>
  <c r="W35"/>
  <c r="W34"/>
  <c r="W33"/>
  <c r="W32"/>
  <c r="W31"/>
  <c r="W30"/>
  <c r="W29"/>
  <c r="W28"/>
  <c r="W27"/>
  <c r="W26"/>
  <c r="W25"/>
  <c r="W24"/>
  <c r="W23"/>
  <c r="W21"/>
  <c r="W20"/>
  <c r="W19"/>
  <c r="W17"/>
  <c r="V33"/>
  <c r="Z32"/>
  <c r="T14"/>
  <c r="T12"/>
  <c r="U12" s="1"/>
  <c r="V10"/>
  <c r="U10"/>
  <c r="C47" i="21"/>
  <c r="AL6" i="22"/>
  <c r="AN42" i="21"/>
  <c r="AN44"/>
  <c r="AN46"/>
  <c r="AN43"/>
  <c r="AL2" i="22"/>
  <c r="AN39" i="21"/>
  <c r="AN45"/>
  <c r="AN40"/>
  <c r="AN41"/>
  <c r="W22" i="22" l="1"/>
  <c r="Y22" s="1"/>
  <c r="W18"/>
  <c r="X18" s="1"/>
  <c r="AA19"/>
  <c r="AD19" s="1"/>
  <c r="Y26"/>
  <c r="X26"/>
  <c r="X38"/>
  <c r="Y38"/>
  <c r="Y46"/>
  <c r="X46"/>
  <c r="X50"/>
  <c r="Y50"/>
  <c r="Y58"/>
  <c r="X58"/>
  <c r="Y66"/>
  <c r="X66"/>
  <c r="Y17"/>
  <c r="X17"/>
  <c r="X21"/>
  <c r="Y21"/>
  <c r="X25"/>
  <c r="Y25"/>
  <c r="Y29"/>
  <c r="X29"/>
  <c r="Y33"/>
  <c r="X33"/>
  <c r="X37"/>
  <c r="Y37"/>
  <c r="Y41"/>
  <c r="X41"/>
  <c r="Y45"/>
  <c r="X45"/>
  <c r="Y49"/>
  <c r="X49"/>
  <c r="Y53"/>
  <c r="X53"/>
  <c r="Y57"/>
  <c r="X57"/>
  <c r="X61"/>
  <c r="Y61"/>
  <c r="X65"/>
  <c r="Y65"/>
  <c r="Y30"/>
  <c r="X30"/>
  <c r="Y42"/>
  <c r="X42"/>
  <c r="X54"/>
  <c r="Y54"/>
  <c r="V34"/>
  <c r="Z33"/>
  <c r="X20"/>
  <c r="Y20"/>
  <c r="X24"/>
  <c r="Y24"/>
  <c r="X28"/>
  <c r="Y28"/>
  <c r="Y32"/>
  <c r="X32"/>
  <c r="X36"/>
  <c r="Y36"/>
  <c r="Y40"/>
  <c r="X40"/>
  <c r="Y44"/>
  <c r="X44"/>
  <c r="X48"/>
  <c r="Y48"/>
  <c r="Y52"/>
  <c r="X52"/>
  <c r="Y56"/>
  <c r="X56"/>
  <c r="Y60"/>
  <c r="X60"/>
  <c r="X64"/>
  <c r="Y64"/>
  <c r="X34"/>
  <c r="Y34"/>
  <c r="Y62"/>
  <c r="X62"/>
  <c r="Y19"/>
  <c r="X19"/>
  <c r="Y23"/>
  <c r="X23"/>
  <c r="Y27"/>
  <c r="X27"/>
  <c r="X31"/>
  <c r="Y31"/>
  <c r="Y35"/>
  <c r="X35"/>
  <c r="X39"/>
  <c r="Y39"/>
  <c r="X43"/>
  <c r="Y43"/>
  <c r="Y47"/>
  <c r="X47"/>
  <c r="X51"/>
  <c r="Y51"/>
  <c r="X55"/>
  <c r="Y55"/>
  <c r="X59"/>
  <c r="Y59"/>
  <c r="Y63"/>
  <c r="X63"/>
  <c r="D39" i="21"/>
  <c r="AN33"/>
  <c r="AN19"/>
  <c r="AN20"/>
  <c r="AN22"/>
  <c r="AN35"/>
  <c r="AN31"/>
  <c r="AN29"/>
  <c r="AN17"/>
  <c r="AN37"/>
  <c r="AN21"/>
  <c r="AN26"/>
  <c r="AN38"/>
  <c r="AN34"/>
  <c r="AN24"/>
  <c r="AN32"/>
  <c r="AN36"/>
  <c r="AN25"/>
  <c r="AN23"/>
  <c r="AN18"/>
  <c r="AN28"/>
  <c r="AN27"/>
  <c r="AN30"/>
  <c r="Y18" i="22" l="1"/>
  <c r="X22"/>
  <c r="AA20"/>
  <c r="AD20" s="1"/>
  <c r="V35"/>
  <c r="Z34"/>
  <c r="V17" i="21"/>
  <c r="V18" s="1"/>
  <c r="AN16"/>
  <c r="AA21" i="22" l="1"/>
  <c r="V36"/>
  <c r="Z35"/>
  <c r="V19" i="21"/>
  <c r="AN15"/>
  <c r="AA22" i="22" l="1"/>
  <c r="AD21"/>
  <c r="V37"/>
  <c r="Z36"/>
  <c r="V20" i="21"/>
  <c r="AN14"/>
  <c r="AD22" i="22" l="1"/>
  <c r="AA23"/>
  <c r="V38"/>
  <c r="Z37"/>
  <c r="V21" i="21"/>
  <c r="AN13"/>
  <c r="AA24" i="22" l="1"/>
  <c r="AD23"/>
  <c r="V39"/>
  <c r="Z38"/>
  <c r="V22" i="21"/>
  <c r="AN12"/>
  <c r="AA25" i="22" l="1"/>
  <c r="AD24"/>
  <c r="V40"/>
  <c r="Z39"/>
  <c r="V23" i="21"/>
  <c r="AN11"/>
  <c r="AA26" i="22" l="1"/>
  <c r="AD25"/>
  <c r="V41"/>
  <c r="Z40"/>
  <c r="V24" i="21"/>
  <c r="AN10"/>
  <c r="AA27" i="22" l="1"/>
  <c r="AD26"/>
  <c r="V42"/>
  <c r="Z41"/>
  <c r="AA41" s="1"/>
  <c r="V25" i="21"/>
  <c r="AK10"/>
  <c r="AK15" s="1"/>
  <c r="AK20" s="1"/>
  <c r="AK25" s="1"/>
  <c r="AK30" s="1"/>
  <c r="AK35" s="1"/>
  <c r="AK40" s="1"/>
  <c r="AK45" s="1"/>
  <c r="AK50" s="1"/>
  <c r="AN9"/>
  <c r="AD27" i="22" l="1"/>
  <c r="AA28"/>
  <c r="V43"/>
  <c r="Z42"/>
  <c r="AA42" s="1"/>
  <c r="V26" i="21"/>
  <c r="AK9"/>
  <c r="AK14" s="1"/>
  <c r="AK19" s="1"/>
  <c r="AK24" s="1"/>
  <c r="AK29" s="1"/>
  <c r="AK34" s="1"/>
  <c r="AK39" s="1"/>
  <c r="AK44" s="1"/>
  <c r="AK49" s="1"/>
  <c r="AN8"/>
  <c r="AA29" i="22" l="1"/>
  <c r="AD28"/>
  <c r="V44"/>
  <c r="Z43"/>
  <c r="AA43" s="1"/>
  <c r="V27" i="21"/>
  <c r="AK8"/>
  <c r="AK13" s="1"/>
  <c r="AK18" s="1"/>
  <c r="AK23" s="1"/>
  <c r="AK28" s="1"/>
  <c r="AK33" s="1"/>
  <c r="AK38" s="1"/>
  <c r="AK43" s="1"/>
  <c r="AK48" s="1"/>
  <c r="AN7"/>
  <c r="AD29" i="22" l="1"/>
  <c r="AA30"/>
  <c r="V45"/>
  <c r="Z44"/>
  <c r="AA44" s="1"/>
  <c r="V28" i="21"/>
  <c r="AK7"/>
  <c r="AK12" s="1"/>
  <c r="AK17" s="1"/>
  <c r="AK22" s="1"/>
  <c r="AK27" s="1"/>
  <c r="AK32" s="1"/>
  <c r="AK37" s="1"/>
  <c r="AK42" s="1"/>
  <c r="AK47" s="1"/>
  <c r="AN6"/>
  <c r="AA31" i="22" l="1"/>
  <c r="AD30"/>
  <c r="V46"/>
  <c r="Z45"/>
  <c r="AA45" s="1"/>
  <c r="V29" i="21"/>
  <c r="AK6"/>
  <c r="AK11" s="1"/>
  <c r="AK16" s="1"/>
  <c r="AK21" s="1"/>
  <c r="AK26" s="1"/>
  <c r="AK31" s="1"/>
  <c r="AK36" s="1"/>
  <c r="AK41" s="1"/>
  <c r="AK46" s="1"/>
  <c r="AN4"/>
  <c r="AN5"/>
  <c r="AA32" i="22" l="1"/>
  <c r="AD31"/>
  <c r="V47"/>
  <c r="Z46"/>
  <c r="AA46" s="1"/>
  <c r="V30" i="21"/>
  <c r="G4"/>
  <c r="AN3"/>
  <c r="AN2"/>
  <c r="AA33" i="22" l="1"/>
  <c r="AD32"/>
  <c r="V48"/>
  <c r="Z47"/>
  <c r="AA47" s="1"/>
  <c r="V31" i="21"/>
  <c r="G2"/>
  <c r="D2"/>
  <c r="Z30" s="1"/>
  <c r="AN1"/>
  <c r="AA34" i="22" l="1"/>
  <c r="AD33"/>
  <c r="V49"/>
  <c r="Z48"/>
  <c r="AA48" s="1"/>
  <c r="V32" i="21"/>
  <c r="Z31"/>
  <c r="Z18"/>
  <c r="Z17"/>
  <c r="AA17" s="1"/>
  <c r="AD17" s="1"/>
  <c r="Z19"/>
  <c r="Z20"/>
  <c r="Z21"/>
  <c r="Z22"/>
  <c r="Z23"/>
  <c r="Z24"/>
  <c r="T10"/>
  <c r="Z25"/>
  <c r="Z26"/>
  <c r="Z27"/>
  <c r="Z28"/>
  <c r="Z29"/>
  <c r="AN50" i="20"/>
  <c r="AL29" i="21"/>
  <c r="AL19"/>
  <c r="AN49" i="20"/>
  <c r="AN48"/>
  <c r="AL13" i="21"/>
  <c r="AL15"/>
  <c r="AL24"/>
  <c r="AN47" i="20"/>
  <c r="AL20" i="21"/>
  <c r="AL31"/>
  <c r="AL45"/>
  <c r="AD34" i="22" l="1"/>
  <c r="AA35"/>
  <c r="V50"/>
  <c r="Z49"/>
  <c r="AA49" s="1"/>
  <c r="W61" i="21"/>
  <c r="W47"/>
  <c r="W45"/>
  <c r="W40"/>
  <c r="W36"/>
  <c r="W35"/>
  <c r="W31"/>
  <c r="W29"/>
  <c r="T14"/>
  <c r="T12"/>
  <c r="U12" s="1"/>
  <c r="V10"/>
  <c r="U10"/>
  <c r="V33"/>
  <c r="Z32"/>
  <c r="AA18"/>
  <c r="AD18" s="1"/>
  <c r="T1"/>
  <c r="C47" i="20"/>
  <c r="AL48" i="21"/>
  <c r="AL47"/>
  <c r="AL33"/>
  <c r="AL34"/>
  <c r="AL39"/>
  <c r="AL11"/>
  <c r="AN40" i="20"/>
  <c r="AL17" i="21"/>
  <c r="AL18"/>
  <c r="AL30"/>
  <c r="AL42"/>
  <c r="AL9"/>
  <c r="AL28"/>
  <c r="AL44"/>
  <c r="AN45" i="20"/>
  <c r="AN41"/>
  <c r="AL40" i="21"/>
  <c r="AL36"/>
  <c r="AL43"/>
  <c r="AL2"/>
  <c r="AN39" i="20"/>
  <c r="AL22" i="21"/>
  <c r="AL49"/>
  <c r="AL41"/>
  <c r="AL16"/>
  <c r="AL3"/>
  <c r="AL23"/>
  <c r="AL26"/>
  <c r="AN44" i="20"/>
  <c r="AL1" i="21"/>
  <c r="AL37"/>
  <c r="AL7"/>
  <c r="AL10"/>
  <c r="AL5"/>
  <c r="AL50"/>
  <c r="AN43" i="20"/>
  <c r="AL14" i="21"/>
  <c r="AL35"/>
  <c r="AN42" i="20"/>
  <c r="AL21" i="21"/>
  <c r="AL12"/>
  <c r="AL46"/>
  <c r="AN46" i="20"/>
  <c r="AL32" i="21"/>
  <c r="AL25"/>
  <c r="AL38"/>
  <c r="AL6"/>
  <c r="AL27"/>
  <c r="AL8"/>
  <c r="AL4"/>
  <c r="W41" l="1"/>
  <c r="W48"/>
  <c r="Y48" s="1"/>
  <c r="W51"/>
  <c r="Y51" s="1"/>
  <c r="W19"/>
  <c r="W32"/>
  <c r="W57"/>
  <c r="Y57" s="1"/>
  <c r="W52"/>
  <c r="X52" s="1"/>
  <c r="W25"/>
  <c r="W63"/>
  <c r="W64"/>
  <c r="X64" s="1"/>
  <c r="W56"/>
  <c r="X56" s="1"/>
  <c r="W20"/>
  <c r="Y20" s="1"/>
  <c r="W65"/>
  <c r="Y65" s="1"/>
  <c r="W21"/>
  <c r="X21" s="1"/>
  <c r="W23"/>
  <c r="X23" s="1"/>
  <c r="W33"/>
  <c r="X33" s="1"/>
  <c r="W28"/>
  <c r="Y28" s="1"/>
  <c r="W43"/>
  <c r="Y43" s="1"/>
  <c r="W53"/>
  <c r="X53" s="1"/>
  <c r="W17"/>
  <c r="X17" s="1"/>
  <c r="W27"/>
  <c r="Y27" s="1"/>
  <c r="W37"/>
  <c r="Y37" s="1"/>
  <c r="W55"/>
  <c r="X55" s="1"/>
  <c r="W60"/>
  <c r="X60" s="1"/>
  <c r="W39"/>
  <c r="X39" s="1"/>
  <c r="W49"/>
  <c r="Y49" s="1"/>
  <c r="W44"/>
  <c r="X44" s="1"/>
  <c r="W59"/>
  <c r="X59" s="1"/>
  <c r="W18"/>
  <c r="Y18" s="1"/>
  <c r="W66"/>
  <c r="X66" s="1"/>
  <c r="W24"/>
  <c r="Y24" s="1"/>
  <c r="W46"/>
  <c r="X46" s="1"/>
  <c r="W26"/>
  <c r="Y26" s="1"/>
  <c r="W42"/>
  <c r="Y42" s="1"/>
  <c r="W58"/>
  <c r="X58" s="1"/>
  <c r="W34"/>
  <c r="Y34" s="1"/>
  <c r="W50"/>
  <c r="X50" s="1"/>
  <c r="W30"/>
  <c r="Y30" s="1"/>
  <c r="W62"/>
  <c r="X62" s="1"/>
  <c r="W22"/>
  <c r="X22" s="1"/>
  <c r="W38"/>
  <c r="Y38" s="1"/>
  <c r="W54"/>
  <c r="X54" s="1"/>
  <c r="AD35" i="22"/>
  <c r="AA36"/>
  <c r="V51"/>
  <c r="Z50"/>
  <c r="AA50" s="1"/>
  <c r="AA19" i="21"/>
  <c r="X19"/>
  <c r="Y19"/>
  <c r="X31"/>
  <c r="Y31"/>
  <c r="X35"/>
  <c r="Y35"/>
  <c r="X43"/>
  <c r="X51"/>
  <c r="Y21"/>
  <c r="X25"/>
  <c r="Y25"/>
  <c r="X29"/>
  <c r="Y29"/>
  <c r="X41"/>
  <c r="Y41"/>
  <c r="X45"/>
  <c r="Y45"/>
  <c r="X49"/>
  <c r="Y61"/>
  <c r="X61"/>
  <c r="X27"/>
  <c r="Y39"/>
  <c r="Y47"/>
  <c r="X47"/>
  <c r="X63"/>
  <c r="Y63"/>
  <c r="V34"/>
  <c r="Z33"/>
  <c r="X20"/>
  <c r="X28"/>
  <c r="X32"/>
  <c r="Y32"/>
  <c r="X36"/>
  <c r="Y36"/>
  <c r="X40"/>
  <c r="Y40"/>
  <c r="Y52"/>
  <c r="D39" i="20"/>
  <c r="AN33"/>
  <c r="AN25"/>
  <c r="AN23"/>
  <c r="AN21"/>
  <c r="AN30"/>
  <c r="AN22"/>
  <c r="AN29"/>
  <c r="AN27"/>
  <c r="AN35"/>
  <c r="AN26"/>
  <c r="AN31"/>
  <c r="AN17"/>
  <c r="AN19"/>
  <c r="AN28"/>
  <c r="AN18"/>
  <c r="AN20"/>
  <c r="AN38"/>
  <c r="AN37"/>
  <c r="AN34"/>
  <c r="AN24"/>
  <c r="AN36"/>
  <c r="AN32"/>
  <c r="Y64" i="21" l="1"/>
  <c r="X48"/>
  <c r="X57"/>
  <c r="X37"/>
  <c r="X65"/>
  <c r="Y55"/>
  <c r="Y44"/>
  <c r="Y23"/>
  <c r="Y60"/>
  <c r="Y33"/>
  <c r="Y17"/>
  <c r="Y59"/>
  <c r="Y56"/>
  <c r="Y53"/>
  <c r="Y46"/>
  <c r="X34"/>
  <c r="Y58"/>
  <c r="Y54"/>
  <c r="Y22"/>
  <c r="X24"/>
  <c r="X30"/>
  <c r="Y62"/>
  <c r="Y66"/>
  <c r="X42"/>
  <c r="X18"/>
  <c r="Y50"/>
  <c r="X38"/>
  <c r="X26"/>
  <c r="AA37" i="22"/>
  <c r="AD36"/>
  <c r="V52"/>
  <c r="Z51"/>
  <c r="AA51" s="1"/>
  <c r="AD19" i="21"/>
  <c r="AA20"/>
  <c r="V35"/>
  <c r="Z34"/>
  <c r="V17" i="20"/>
  <c r="V18" s="1"/>
  <c r="AN16"/>
  <c r="AA38" i="22" l="1"/>
  <c r="AD37"/>
  <c r="V53"/>
  <c r="Z52"/>
  <c r="AA52" s="1"/>
  <c r="AD20" i="21"/>
  <c r="AA21"/>
  <c r="V36"/>
  <c r="Z35"/>
  <c r="V19" i="20"/>
  <c r="AN15"/>
  <c r="AA39" i="22" l="1"/>
  <c r="AD38"/>
  <c r="V54"/>
  <c r="Z53"/>
  <c r="AA53" s="1"/>
  <c r="AA22" i="21"/>
  <c r="AD21"/>
  <c r="V37"/>
  <c r="Z36"/>
  <c r="V20" i="20"/>
  <c r="AN14"/>
  <c r="AA40" i="22" l="1"/>
  <c r="AD40" s="1"/>
  <c r="AD39"/>
  <c r="V55"/>
  <c r="Z54"/>
  <c r="AA54" s="1"/>
  <c r="AA23" i="21"/>
  <c r="AD22"/>
  <c r="V38"/>
  <c r="Z37"/>
  <c r="V21" i="20"/>
  <c r="AN13"/>
  <c r="V56" i="22" l="1"/>
  <c r="Z55"/>
  <c r="AA55" s="1"/>
  <c r="AA24" i="21"/>
  <c r="AD23"/>
  <c r="V39"/>
  <c r="Z38"/>
  <c r="V22" i="20"/>
  <c r="AN12"/>
  <c r="V57" i="22" l="1"/>
  <c r="Z56"/>
  <c r="AA56" s="1"/>
  <c r="AD24" i="21"/>
  <c r="AA25"/>
  <c r="V40"/>
  <c r="Z39"/>
  <c r="V23" i="20"/>
  <c r="AN11"/>
  <c r="V58" i="22" l="1"/>
  <c r="Z57"/>
  <c r="AA57" s="1"/>
  <c r="AA26" i="21"/>
  <c r="AD25"/>
  <c r="V41"/>
  <c r="Z40"/>
  <c r="V24" i="20"/>
  <c r="AN10"/>
  <c r="V59" i="22" l="1"/>
  <c r="Z58"/>
  <c r="AA58" s="1"/>
  <c r="AA27" i="21"/>
  <c r="AD26"/>
  <c r="V42"/>
  <c r="Z41"/>
  <c r="V25" i="20"/>
  <c r="AK10"/>
  <c r="AK15" s="1"/>
  <c r="AK20" s="1"/>
  <c r="AK25" s="1"/>
  <c r="AK30" s="1"/>
  <c r="AK35" s="1"/>
  <c r="AK40" s="1"/>
  <c r="AK45" s="1"/>
  <c r="AK50" s="1"/>
  <c r="AN9"/>
  <c r="V60" i="22" l="1"/>
  <c r="Z59"/>
  <c r="AA59" s="1"/>
  <c r="AA28" i="21"/>
  <c r="AD27"/>
  <c r="V43"/>
  <c r="Z42"/>
  <c r="V26" i="20"/>
  <c r="AK9"/>
  <c r="AK14" s="1"/>
  <c r="AK19" s="1"/>
  <c r="AK24" s="1"/>
  <c r="AK29" s="1"/>
  <c r="AK34" s="1"/>
  <c r="AK39" s="1"/>
  <c r="AK44" s="1"/>
  <c r="AK49" s="1"/>
  <c r="AN8"/>
  <c r="V61" i="22" l="1"/>
  <c r="Z60"/>
  <c r="AA60" s="1"/>
  <c r="AA29" i="21"/>
  <c r="AD28"/>
  <c r="V44"/>
  <c r="Z43"/>
  <c r="V27" i="20"/>
  <c r="AK8"/>
  <c r="AK13" s="1"/>
  <c r="AK18" s="1"/>
  <c r="AK23" s="1"/>
  <c r="AK28" s="1"/>
  <c r="AK33" s="1"/>
  <c r="AK38" s="1"/>
  <c r="AK43" s="1"/>
  <c r="AK48" s="1"/>
  <c r="AN7"/>
  <c r="V62" i="22" l="1"/>
  <c r="Z61"/>
  <c r="AA61" s="1"/>
  <c r="AA30" i="21"/>
  <c r="AD29"/>
  <c r="V45"/>
  <c r="Z44"/>
  <c r="V28" i="20"/>
  <c r="AK7"/>
  <c r="AK12" s="1"/>
  <c r="AK17" s="1"/>
  <c r="AK22" s="1"/>
  <c r="AK27" s="1"/>
  <c r="AK32" s="1"/>
  <c r="AK37" s="1"/>
  <c r="AK42" s="1"/>
  <c r="AK47" s="1"/>
  <c r="AN6"/>
  <c r="V63" i="22" l="1"/>
  <c r="Z62"/>
  <c r="AA62" s="1"/>
  <c r="AA31" i="21"/>
  <c r="AD30"/>
  <c r="V46"/>
  <c r="Z45"/>
  <c r="V29" i="20"/>
  <c r="AK6"/>
  <c r="AK11" s="1"/>
  <c r="AK16" s="1"/>
  <c r="AK21" s="1"/>
  <c r="AK26" s="1"/>
  <c r="AK31" s="1"/>
  <c r="AK36" s="1"/>
  <c r="AK41" s="1"/>
  <c r="AK46" s="1"/>
  <c r="AN5"/>
  <c r="AN4"/>
  <c r="V64" i="22" l="1"/>
  <c r="Z63"/>
  <c r="AA63" s="1"/>
  <c r="AA32" i="21"/>
  <c r="AD31"/>
  <c r="V47"/>
  <c r="Z46"/>
  <c r="V30" i="20"/>
  <c r="G4"/>
  <c r="AN2"/>
  <c r="AN3"/>
  <c r="V65" i="22" l="1"/>
  <c r="Z64"/>
  <c r="AA64" s="1"/>
  <c r="AA33" i="21"/>
  <c r="AD32"/>
  <c r="V48"/>
  <c r="Z47"/>
  <c r="V31" i="20"/>
  <c r="G2"/>
  <c r="D2"/>
  <c r="Z30" s="1"/>
  <c r="AN1"/>
  <c r="V66" i="22" l="1"/>
  <c r="Z65"/>
  <c r="AA65" s="1"/>
  <c r="AA34" i="21"/>
  <c r="AD33"/>
  <c r="V49"/>
  <c r="Z48"/>
  <c r="Z17" i="20"/>
  <c r="AA17" s="1"/>
  <c r="AD17" s="1"/>
  <c r="Z18"/>
  <c r="Z19"/>
  <c r="Z20"/>
  <c r="Z21"/>
  <c r="Z22"/>
  <c r="Z23"/>
  <c r="Z24"/>
  <c r="T10"/>
  <c r="Z25"/>
  <c r="Z26"/>
  <c r="Z27"/>
  <c r="Z28"/>
  <c r="Z29"/>
  <c r="V32"/>
  <c r="Z31"/>
  <c r="AN47" i="19"/>
  <c r="AL24" i="20"/>
  <c r="AL17"/>
  <c r="AL12"/>
  <c r="AL4"/>
  <c r="AL32"/>
  <c r="AN49" i="19"/>
  <c r="AN50"/>
  <c r="AL8" i="20"/>
  <c r="AN48" i="19"/>
  <c r="AL43" i="20"/>
  <c r="AL47"/>
  <c r="Z66" i="22" l="1"/>
  <c r="AA66" s="1"/>
  <c r="D41"/>
  <c r="AA35" i="21"/>
  <c r="AD34"/>
  <c r="V50"/>
  <c r="Z49"/>
  <c r="W63" i="20"/>
  <c r="W59"/>
  <c r="W48"/>
  <c r="W40"/>
  <c r="W33"/>
  <c r="W28"/>
  <c r="W24"/>
  <c r="W20"/>
  <c r="V33"/>
  <c r="Z32"/>
  <c r="T14"/>
  <c r="T12"/>
  <c r="U12" s="1"/>
  <c r="V10"/>
  <c r="U10"/>
  <c r="T1"/>
  <c r="AA18"/>
  <c r="AD18" s="1"/>
  <c r="C47" i="19"/>
  <c r="AL29" i="20"/>
  <c r="AL16"/>
  <c r="AL15"/>
  <c r="AL46"/>
  <c r="AN44" i="19"/>
  <c r="AL1" i="20"/>
  <c r="AL14"/>
  <c r="AL3"/>
  <c r="AL44"/>
  <c r="AL18"/>
  <c r="AL11"/>
  <c r="AN43" i="19"/>
  <c r="AL21" i="20"/>
  <c r="AL2"/>
  <c r="AL22"/>
  <c r="AL49"/>
  <c r="AL27"/>
  <c r="AL26"/>
  <c r="AL25"/>
  <c r="AL9"/>
  <c r="AN45" i="19"/>
  <c r="AN39"/>
  <c r="AL33" i="20"/>
  <c r="AL10"/>
  <c r="AN40" i="19"/>
  <c r="AL45" i="20"/>
  <c r="AL5"/>
  <c r="AL30"/>
  <c r="AN41" i="19"/>
  <c r="AL38" i="20"/>
  <c r="AL34"/>
  <c r="AL28"/>
  <c r="AL35"/>
  <c r="AL23"/>
  <c r="AL48"/>
  <c r="AL42"/>
  <c r="AL19"/>
  <c r="AL13"/>
  <c r="AL41"/>
  <c r="AL40"/>
  <c r="AL50"/>
  <c r="AL31"/>
  <c r="AL6"/>
  <c r="AL36"/>
  <c r="AL37"/>
  <c r="AL39"/>
  <c r="AL7"/>
  <c r="AN46" i="19"/>
  <c r="AL20" i="20"/>
  <c r="AN42" i="19"/>
  <c r="W52" i="20" l="1"/>
  <c r="W21"/>
  <c r="Y21" s="1"/>
  <c r="W61"/>
  <c r="X61" s="1"/>
  <c r="W25"/>
  <c r="W18"/>
  <c r="W37"/>
  <c r="Y37" s="1"/>
  <c r="W45"/>
  <c r="X45" s="1"/>
  <c r="W41"/>
  <c r="X41" s="1"/>
  <c r="W36"/>
  <c r="Y36" s="1"/>
  <c r="W64"/>
  <c r="Y64" s="1"/>
  <c r="W60"/>
  <c r="Y60" s="1"/>
  <c r="W49"/>
  <c r="X49" s="1"/>
  <c r="W44"/>
  <c r="Y44" s="1"/>
  <c r="W17"/>
  <c r="X17" s="1"/>
  <c r="W56"/>
  <c r="Y56" s="1"/>
  <c r="W65"/>
  <c r="X65" s="1"/>
  <c r="W57"/>
  <c r="Y57" s="1"/>
  <c r="W32"/>
  <c r="X32" s="1"/>
  <c r="W29"/>
  <c r="Y29" s="1"/>
  <c r="W53"/>
  <c r="X53" s="1"/>
  <c r="W26"/>
  <c r="Y26" s="1"/>
  <c r="W42"/>
  <c r="Y42" s="1"/>
  <c r="W58"/>
  <c r="Y58" s="1"/>
  <c r="W23"/>
  <c r="X23" s="1"/>
  <c r="W39"/>
  <c r="Y39" s="1"/>
  <c r="W55"/>
  <c r="X55" s="1"/>
  <c r="W22"/>
  <c r="X22" s="1"/>
  <c r="W19"/>
  <c r="X19" s="1"/>
  <c r="W34"/>
  <c r="Y34" s="1"/>
  <c r="W50"/>
  <c r="Y50" s="1"/>
  <c r="W66"/>
  <c r="Y66" s="1"/>
  <c r="W31"/>
  <c r="X31" s="1"/>
  <c r="W47"/>
  <c r="Y47" s="1"/>
  <c r="W38"/>
  <c r="X38" s="1"/>
  <c r="W54"/>
  <c r="X54" s="1"/>
  <c r="W35"/>
  <c r="Y35" s="1"/>
  <c r="W51"/>
  <c r="Y51" s="1"/>
  <c r="W30"/>
  <c r="Y30" s="1"/>
  <c r="W46"/>
  <c r="X46" s="1"/>
  <c r="W62"/>
  <c r="X62" s="1"/>
  <c r="W27"/>
  <c r="Y27" s="1"/>
  <c r="W43"/>
  <c r="Y43" s="1"/>
  <c r="AD35" i="21"/>
  <c r="AA36"/>
  <c r="V51"/>
  <c r="Z50"/>
  <c r="X18" i="20"/>
  <c r="Y18"/>
  <c r="Y17"/>
  <c r="X25"/>
  <c r="Y25"/>
  <c r="X29"/>
  <c r="X33"/>
  <c r="Y33"/>
  <c r="Y45"/>
  <c r="Y61"/>
  <c r="V34"/>
  <c r="Z33"/>
  <c r="X20"/>
  <c r="Y20"/>
  <c r="X24"/>
  <c r="Y24"/>
  <c r="X28"/>
  <c r="Y28"/>
  <c r="X40"/>
  <c r="Y40"/>
  <c r="Y48"/>
  <c r="X48"/>
  <c r="X52"/>
  <c r="Y52"/>
  <c r="X56"/>
  <c r="X60"/>
  <c r="Y59"/>
  <c r="X59"/>
  <c r="Y63"/>
  <c r="X63"/>
  <c r="AA19"/>
  <c r="D39" i="19"/>
  <c r="AN27"/>
  <c r="AN37"/>
  <c r="AN34"/>
  <c r="AN32"/>
  <c r="AN21"/>
  <c r="AN36"/>
  <c r="AN28"/>
  <c r="AN26"/>
  <c r="AN24"/>
  <c r="AN31"/>
  <c r="AN29"/>
  <c r="AN17"/>
  <c r="AN35"/>
  <c r="AN18"/>
  <c r="AN33"/>
  <c r="AN30"/>
  <c r="AN22"/>
  <c r="AN25"/>
  <c r="AN20"/>
  <c r="AN38"/>
  <c r="AN23"/>
  <c r="AN19"/>
  <c r="X37" i="20" l="1"/>
  <c r="X21"/>
  <c r="X57"/>
  <c r="X44"/>
  <c r="Y65"/>
  <c r="Y53"/>
  <c r="Y19"/>
  <c r="Y49"/>
  <c r="Y31"/>
  <c r="Y41"/>
  <c r="X36"/>
  <c r="X64"/>
  <c r="Y32"/>
  <c r="X35"/>
  <c r="Y62"/>
  <c r="Y23"/>
  <c r="Y46"/>
  <c r="X27"/>
  <c r="Y38"/>
  <c r="X43"/>
  <c r="Y22"/>
  <c r="X58"/>
  <c r="Y55"/>
  <c r="X66"/>
  <c r="Y54"/>
  <c r="X51"/>
  <c r="X50"/>
  <c r="X42"/>
  <c r="X30"/>
  <c r="X47"/>
  <c r="X39"/>
  <c r="X34"/>
  <c r="X26"/>
  <c r="AA37" i="21"/>
  <c r="AD36"/>
  <c r="V52"/>
  <c r="Z51"/>
  <c r="AA51" s="1"/>
  <c r="V35" i="20"/>
  <c r="Z34"/>
  <c r="AD19"/>
  <c r="AA20"/>
  <c r="V17" i="19"/>
  <c r="V18" s="1"/>
  <c r="AN16"/>
  <c r="AA38" i="21" l="1"/>
  <c r="AD37"/>
  <c r="V53"/>
  <c r="Z52"/>
  <c r="AA52" s="1"/>
  <c r="AD20" i="20"/>
  <c r="AA21"/>
  <c r="V36"/>
  <c r="Z35"/>
  <c r="AA35" s="1"/>
  <c r="D41"/>
  <c r="V19" i="19"/>
  <c r="AN15"/>
  <c r="AA39" i="21" l="1"/>
  <c r="AD38"/>
  <c r="V54"/>
  <c r="Z53"/>
  <c r="AA53" s="1"/>
  <c r="AD21" i="20"/>
  <c r="AA22"/>
  <c r="V37"/>
  <c r="Z36"/>
  <c r="AA36" s="1"/>
  <c r="V20" i="19"/>
  <c r="AN14"/>
  <c r="AA40" i="21" l="1"/>
  <c r="AD39"/>
  <c r="V55"/>
  <c r="Z54"/>
  <c r="AA54" s="1"/>
  <c r="AD22" i="20"/>
  <c r="AA23"/>
  <c r="V38"/>
  <c r="Z37"/>
  <c r="AA37" s="1"/>
  <c r="V21" i="19"/>
  <c r="AN13"/>
  <c r="AA41" i="21" l="1"/>
  <c r="AD40"/>
  <c r="V56"/>
  <c r="Z55"/>
  <c r="AA55" s="1"/>
  <c r="AD23" i="20"/>
  <c r="AA24"/>
  <c r="V39"/>
  <c r="Z38"/>
  <c r="AA38" s="1"/>
  <c r="V22" i="19"/>
  <c r="AN12"/>
  <c r="AA42" i="21" l="1"/>
  <c r="AD41"/>
  <c r="V57"/>
  <c r="Z56"/>
  <c r="AA56" s="1"/>
  <c r="AD24" i="20"/>
  <c r="AA25"/>
  <c r="V40"/>
  <c r="Z39"/>
  <c r="AA39" s="1"/>
  <c r="V23" i="19"/>
  <c r="AN11"/>
  <c r="AA43" i="21" l="1"/>
  <c r="AD42"/>
  <c r="V58"/>
  <c r="Z57"/>
  <c r="AA57" s="1"/>
  <c r="AD25" i="20"/>
  <c r="AA26"/>
  <c r="V41"/>
  <c r="Z40"/>
  <c r="AA40" s="1"/>
  <c r="V24" i="19"/>
  <c r="AN10"/>
  <c r="AA44" i="21" l="1"/>
  <c r="AD43"/>
  <c r="V59"/>
  <c r="Z58"/>
  <c r="AA58" s="1"/>
  <c r="AD26" i="20"/>
  <c r="AA27"/>
  <c r="V42"/>
  <c r="Z41"/>
  <c r="AA41" s="1"/>
  <c r="V25" i="19"/>
  <c r="AK10"/>
  <c r="AK15" s="1"/>
  <c r="AK20" s="1"/>
  <c r="AK25" s="1"/>
  <c r="AK30" s="1"/>
  <c r="AK35" s="1"/>
  <c r="AK40" s="1"/>
  <c r="AK45" s="1"/>
  <c r="AK50" s="1"/>
  <c r="AN9"/>
  <c r="AA45" i="21" l="1"/>
  <c r="AD44"/>
  <c r="V60"/>
  <c r="Z59"/>
  <c r="AA59" s="1"/>
  <c r="AD27" i="20"/>
  <c r="AA28"/>
  <c r="V43"/>
  <c r="Z42"/>
  <c r="AA42" s="1"/>
  <c r="V26" i="19"/>
  <c r="AK9"/>
  <c r="AK14" s="1"/>
  <c r="AK19" s="1"/>
  <c r="AK24" s="1"/>
  <c r="AK29" s="1"/>
  <c r="AK34" s="1"/>
  <c r="AK39" s="1"/>
  <c r="AK44" s="1"/>
  <c r="AK49" s="1"/>
  <c r="AN8"/>
  <c r="AA46" i="21" l="1"/>
  <c r="AD45"/>
  <c r="V61"/>
  <c r="Z60"/>
  <c r="AA60" s="1"/>
  <c r="AD28" i="20"/>
  <c r="AA29"/>
  <c r="V44"/>
  <c r="Z43"/>
  <c r="AA43" s="1"/>
  <c r="V27" i="19"/>
  <c r="AK8"/>
  <c r="AK13" s="1"/>
  <c r="AK18" s="1"/>
  <c r="AK23" s="1"/>
  <c r="AK28" s="1"/>
  <c r="AK33" s="1"/>
  <c r="AK38" s="1"/>
  <c r="AK43" s="1"/>
  <c r="AK48" s="1"/>
  <c r="AN7"/>
  <c r="AA47" i="21" l="1"/>
  <c r="AD46"/>
  <c r="V62"/>
  <c r="Z61"/>
  <c r="AA61" s="1"/>
  <c r="AD29" i="20"/>
  <c r="AA30"/>
  <c r="V45"/>
  <c r="Z44"/>
  <c r="AA44" s="1"/>
  <c r="V28" i="19"/>
  <c r="AK7"/>
  <c r="AK12" s="1"/>
  <c r="AK17" s="1"/>
  <c r="AK22" s="1"/>
  <c r="AK27" s="1"/>
  <c r="AK32" s="1"/>
  <c r="AK37" s="1"/>
  <c r="AK42" s="1"/>
  <c r="AK47" s="1"/>
  <c r="AN6"/>
  <c r="AA48" i="21" l="1"/>
  <c r="AD47"/>
  <c r="V63"/>
  <c r="Z62"/>
  <c r="AA62" s="1"/>
  <c r="AD30" i="20"/>
  <c r="AA31"/>
  <c r="V46"/>
  <c r="Z45"/>
  <c r="AA45" s="1"/>
  <c r="V29" i="19"/>
  <c r="AK6"/>
  <c r="AK11" s="1"/>
  <c r="AK16" s="1"/>
  <c r="AK21" s="1"/>
  <c r="AK26" s="1"/>
  <c r="AK31" s="1"/>
  <c r="AK36" s="1"/>
  <c r="AK41" s="1"/>
  <c r="AK46" s="1"/>
  <c r="AN5"/>
  <c r="AN4"/>
  <c r="AA49" i="21" l="1"/>
  <c r="AD48"/>
  <c r="V64"/>
  <c r="Z63"/>
  <c r="AA63" s="1"/>
  <c r="AD31" i="20"/>
  <c r="AA32"/>
  <c r="V47"/>
  <c r="Z46"/>
  <c r="AA46" s="1"/>
  <c r="V30" i="19"/>
  <c r="G4"/>
  <c r="AN2"/>
  <c r="AN3"/>
  <c r="AA50" i="21" l="1"/>
  <c r="AD50" s="1"/>
  <c r="AD49"/>
  <c r="V65"/>
  <c r="Z64"/>
  <c r="AA64" s="1"/>
  <c r="AD32" i="20"/>
  <c r="AA33"/>
  <c r="V48"/>
  <c r="Z47"/>
  <c r="AA47" s="1"/>
  <c r="V31" i="19"/>
  <c r="G2"/>
  <c r="D2"/>
  <c r="Z30" s="1"/>
  <c r="AN1"/>
  <c r="V66" i="21" l="1"/>
  <c r="Z65"/>
  <c r="AA65" s="1"/>
  <c r="AD33" i="20"/>
  <c r="AA34"/>
  <c r="AD34" s="1"/>
  <c r="V49"/>
  <c r="Z48"/>
  <c r="AA48" s="1"/>
  <c r="V32" i="19"/>
  <c r="Z31"/>
  <c r="Z17"/>
  <c r="AA17" s="1"/>
  <c r="AD17" s="1"/>
  <c r="Z18"/>
  <c r="Z19"/>
  <c r="Z20"/>
  <c r="Z21"/>
  <c r="Z22"/>
  <c r="Z23"/>
  <c r="Z24"/>
  <c r="T10"/>
  <c r="Z25"/>
  <c r="Z26"/>
  <c r="Z27"/>
  <c r="Z28"/>
  <c r="Z29"/>
  <c r="AN50" i="18"/>
  <c r="AL23" i="19"/>
  <c r="AL31"/>
  <c r="AL15"/>
  <c r="AN47" i="18"/>
  <c r="AN48"/>
  <c r="AL19" i="19"/>
  <c r="AL47"/>
  <c r="AN49" i="18"/>
  <c r="AL35" i="19"/>
  <c r="AL11"/>
  <c r="AL43"/>
  <c r="AL27"/>
  <c r="AL39"/>
  <c r="AL2"/>
  <c r="AL7"/>
  <c r="Z66" i="21" l="1"/>
  <c r="AA66" s="1"/>
  <c r="D41"/>
  <c r="V50" i="20"/>
  <c r="Z49"/>
  <c r="AA49" s="1"/>
  <c r="W63" i="19"/>
  <c r="W59"/>
  <c r="W55"/>
  <c r="W51"/>
  <c r="W47"/>
  <c r="W43"/>
  <c r="W39"/>
  <c r="W35"/>
  <c r="W31"/>
  <c r="W27"/>
  <c r="W23"/>
  <c r="W18"/>
  <c r="T14"/>
  <c r="T12"/>
  <c r="U12" s="1"/>
  <c r="V10"/>
  <c r="U10"/>
  <c r="V33"/>
  <c r="Z32"/>
  <c r="AA18"/>
  <c r="AD18" s="1"/>
  <c r="T1"/>
  <c r="C47" i="18"/>
  <c r="AN42"/>
  <c r="AL45" i="19"/>
  <c r="AL21"/>
  <c r="AN43" i="18"/>
  <c r="AL37" i="19"/>
  <c r="AL9"/>
  <c r="AL10"/>
  <c r="AL1"/>
  <c r="AL25"/>
  <c r="AL49"/>
  <c r="AL46"/>
  <c r="AL38"/>
  <c r="AL20"/>
  <c r="AN39" i="18"/>
  <c r="AL13" i="19"/>
  <c r="AL5"/>
  <c r="AL16"/>
  <c r="AN44" i="18"/>
  <c r="AN40"/>
  <c r="AL50" i="19"/>
  <c r="AL42"/>
  <c r="AL12"/>
  <c r="AL22"/>
  <c r="AL34"/>
  <c r="AL14"/>
  <c r="AL48"/>
  <c r="AL29"/>
  <c r="AN46" i="18"/>
  <c r="AL8" i="19"/>
  <c r="AL3"/>
  <c r="AL33"/>
  <c r="AL26"/>
  <c r="AL18"/>
  <c r="AL40"/>
  <c r="AN41" i="18"/>
  <c r="AL24" i="19"/>
  <c r="AL6"/>
  <c r="AL32"/>
  <c r="AL36"/>
  <c r="AL28"/>
  <c r="AL4"/>
  <c r="AL44"/>
  <c r="AL41"/>
  <c r="AL17"/>
  <c r="AN45" i="18"/>
  <c r="AL30" i="19"/>
  <c r="W42" l="1"/>
  <c r="Y42" s="1"/>
  <c r="W21"/>
  <c r="Y21" s="1"/>
  <c r="W37"/>
  <c r="X37" s="1"/>
  <c r="W19"/>
  <c r="Y19" s="1"/>
  <c r="W64"/>
  <c r="Y64" s="1"/>
  <c r="W54"/>
  <c r="X54" s="1"/>
  <c r="W17"/>
  <c r="Y17" s="1"/>
  <c r="W65"/>
  <c r="X65" s="1"/>
  <c r="W28"/>
  <c r="Y28" s="1"/>
  <c r="W60"/>
  <c r="X60" s="1"/>
  <c r="W34"/>
  <c r="X34" s="1"/>
  <c r="W50"/>
  <c r="X50" s="1"/>
  <c r="W66"/>
  <c r="Y66" s="1"/>
  <c r="W29"/>
  <c r="Y29" s="1"/>
  <c r="W45"/>
  <c r="X45" s="1"/>
  <c r="W61"/>
  <c r="Y61" s="1"/>
  <c r="W24"/>
  <c r="Y24" s="1"/>
  <c r="W40"/>
  <c r="Y40" s="1"/>
  <c r="W56"/>
  <c r="X56" s="1"/>
  <c r="W26"/>
  <c r="X26" s="1"/>
  <c r="W58"/>
  <c r="Y58" s="1"/>
  <c r="W53"/>
  <c r="X53" s="1"/>
  <c r="W32"/>
  <c r="X32" s="1"/>
  <c r="W48"/>
  <c r="Y48" s="1"/>
  <c r="W22"/>
  <c r="Y22" s="1"/>
  <c r="W38"/>
  <c r="Y38" s="1"/>
  <c r="W33"/>
  <c r="Y33" s="1"/>
  <c r="W49"/>
  <c r="X49" s="1"/>
  <c r="W44"/>
  <c r="Y44" s="1"/>
  <c r="W30"/>
  <c r="Y30" s="1"/>
  <c r="W46"/>
  <c r="Y46" s="1"/>
  <c r="W62"/>
  <c r="Y62" s="1"/>
  <c r="W25"/>
  <c r="Y25" s="1"/>
  <c r="W41"/>
  <c r="Y41" s="1"/>
  <c r="W57"/>
  <c r="X57" s="1"/>
  <c r="W20"/>
  <c r="Y20" s="1"/>
  <c r="W36"/>
  <c r="Y36" s="1"/>
  <c r="W52"/>
  <c r="X52" s="1"/>
  <c r="V51" i="20"/>
  <c r="Z50"/>
  <c r="AA50" s="1"/>
  <c r="AA19" i="19"/>
  <c r="X18"/>
  <c r="Y18"/>
  <c r="V34"/>
  <c r="Z33"/>
  <c r="X23"/>
  <c r="Y23"/>
  <c r="X27"/>
  <c r="Y27"/>
  <c r="X31"/>
  <c r="Y31"/>
  <c r="X35"/>
  <c r="Y35"/>
  <c r="X39"/>
  <c r="Y39"/>
  <c r="X43"/>
  <c r="Y43"/>
  <c r="X47"/>
  <c r="Y47"/>
  <c r="X51"/>
  <c r="Y51"/>
  <c r="Y55"/>
  <c r="X55"/>
  <c r="Y59"/>
  <c r="X59"/>
  <c r="X63"/>
  <c r="Y63"/>
  <c r="D39" i="18"/>
  <c r="AN21"/>
  <c r="AN34"/>
  <c r="AN35"/>
  <c r="AN25"/>
  <c r="AN20"/>
  <c r="AN37"/>
  <c r="AN19"/>
  <c r="AN27"/>
  <c r="AN38"/>
  <c r="AN26"/>
  <c r="AN17"/>
  <c r="AN24"/>
  <c r="AN18"/>
  <c r="AN23"/>
  <c r="AN28"/>
  <c r="AN30"/>
  <c r="AN31"/>
  <c r="AN29"/>
  <c r="AN33"/>
  <c r="AN22"/>
  <c r="AN36"/>
  <c r="AN32"/>
  <c r="X17" i="19" l="1"/>
  <c r="Y45"/>
  <c r="X19"/>
  <c r="Y65"/>
  <c r="X62"/>
  <c r="X20"/>
  <c r="Y49"/>
  <c r="Y26"/>
  <c r="Y32"/>
  <c r="X61"/>
  <c r="Y50"/>
  <c r="X48"/>
  <c r="Y56"/>
  <c r="X46"/>
  <c r="X33"/>
  <c r="Y57"/>
  <c r="Y37"/>
  <c r="Y34"/>
  <c r="Y60"/>
  <c r="Y52"/>
  <c r="X36"/>
  <c r="X25"/>
  <c r="X41"/>
  <c r="X22"/>
  <c r="Y54"/>
  <c r="X44"/>
  <c r="X28"/>
  <c r="X38"/>
  <c r="X64"/>
  <c r="X40"/>
  <c r="X24"/>
  <c r="Y53"/>
  <c r="X29"/>
  <c r="X21"/>
  <c r="X66"/>
  <c r="X58"/>
  <c r="X42"/>
  <c r="X30"/>
  <c r="V52" i="20"/>
  <c r="Z51"/>
  <c r="AA51" s="1"/>
  <c r="AD19" i="19"/>
  <c r="AA20"/>
  <c r="V35"/>
  <c r="Z34"/>
  <c r="V17" i="18"/>
  <c r="V18" s="1"/>
  <c r="AN16"/>
  <c r="V53" i="20" l="1"/>
  <c r="Z52"/>
  <c r="AA52" s="1"/>
  <c r="AD20" i="19"/>
  <c r="AA21"/>
  <c r="V36"/>
  <c r="Z35"/>
  <c r="V19" i="18"/>
  <c r="AN15"/>
  <c r="V54" i="20" l="1"/>
  <c r="Z53"/>
  <c r="AA53" s="1"/>
  <c r="AA22" i="19"/>
  <c r="AD21"/>
  <c r="V37"/>
  <c r="Z36"/>
  <c r="V20" i="18"/>
  <c r="AN14"/>
  <c r="V55" i="20" l="1"/>
  <c r="Z54"/>
  <c r="AA54" s="1"/>
  <c r="AA23" i="19"/>
  <c r="AD22"/>
  <c r="V38"/>
  <c r="Z37"/>
  <c r="V21" i="18"/>
  <c r="AN13"/>
  <c r="V56" i="20" l="1"/>
  <c r="Z55"/>
  <c r="AA55" s="1"/>
  <c r="AA24" i="19"/>
  <c r="AD23"/>
  <c r="V39"/>
  <c r="Z38"/>
  <c r="V22" i="18"/>
  <c r="AN12"/>
  <c r="V57" i="20" l="1"/>
  <c r="Z56"/>
  <c r="AA56" s="1"/>
  <c r="AA25" i="19"/>
  <c r="AD24"/>
  <c r="V40"/>
  <c r="Z39"/>
  <c r="V23" i="18"/>
  <c r="AN11"/>
  <c r="V58" i="20" l="1"/>
  <c r="Z57"/>
  <c r="AA57" s="1"/>
  <c r="AA26" i="19"/>
  <c r="AD25"/>
  <c r="V41"/>
  <c r="Z40"/>
  <c r="V24" i="18"/>
  <c r="AN10"/>
  <c r="V59" i="20" l="1"/>
  <c r="Z58"/>
  <c r="AA58" s="1"/>
  <c r="AA27" i="19"/>
  <c r="AD26"/>
  <c r="V42"/>
  <c r="Z41"/>
  <c r="V25" i="18"/>
  <c r="AK10"/>
  <c r="AK15" s="1"/>
  <c r="AK20" s="1"/>
  <c r="AK25" s="1"/>
  <c r="AK30" s="1"/>
  <c r="AK35" s="1"/>
  <c r="AK40" s="1"/>
  <c r="AK45" s="1"/>
  <c r="AK50" s="1"/>
  <c r="AN9"/>
  <c r="V60" i="20" l="1"/>
  <c r="Z59"/>
  <c r="AA59" s="1"/>
  <c r="AA28" i="19"/>
  <c r="AD27"/>
  <c r="V43"/>
  <c r="Z42"/>
  <c r="V26" i="18"/>
  <c r="AK9"/>
  <c r="AK14" s="1"/>
  <c r="AK19" s="1"/>
  <c r="AK24" s="1"/>
  <c r="AK29" s="1"/>
  <c r="AK34" s="1"/>
  <c r="AK39" s="1"/>
  <c r="AK44" s="1"/>
  <c r="AK49" s="1"/>
  <c r="AN8"/>
  <c r="V61" i="20" l="1"/>
  <c r="Z60"/>
  <c r="AA60" s="1"/>
  <c r="AA29" i="19"/>
  <c r="AD28"/>
  <c r="V44"/>
  <c r="Z43"/>
  <c r="V27" i="18"/>
  <c r="AK8"/>
  <c r="AK13" s="1"/>
  <c r="AK18" s="1"/>
  <c r="AK23" s="1"/>
  <c r="AK28" s="1"/>
  <c r="AK33" s="1"/>
  <c r="AK38" s="1"/>
  <c r="AK43" s="1"/>
  <c r="AK48" s="1"/>
  <c r="AN7"/>
  <c r="V62" i="20" l="1"/>
  <c r="Z61"/>
  <c r="AA61" s="1"/>
  <c r="AA30" i="19"/>
  <c r="AD29"/>
  <c r="V45"/>
  <c r="Z44"/>
  <c r="AA44" s="1"/>
  <c r="V28" i="18"/>
  <c r="AK7"/>
  <c r="AK12" s="1"/>
  <c r="AK17" s="1"/>
  <c r="AK22" s="1"/>
  <c r="AK27" s="1"/>
  <c r="AK32" s="1"/>
  <c r="AK37" s="1"/>
  <c r="AK42" s="1"/>
  <c r="AK47" s="1"/>
  <c r="AN6"/>
  <c r="V63" i="20" l="1"/>
  <c r="Z62"/>
  <c r="AA62" s="1"/>
  <c r="AA31" i="19"/>
  <c r="AD30"/>
  <c r="V46"/>
  <c r="Z45"/>
  <c r="AA45" s="1"/>
  <c r="V29" i="18"/>
  <c r="AK6"/>
  <c r="AK11" s="1"/>
  <c r="AK16" s="1"/>
  <c r="AK21" s="1"/>
  <c r="AK26" s="1"/>
  <c r="AK31" s="1"/>
  <c r="AK36" s="1"/>
  <c r="AK41" s="1"/>
  <c r="AK46" s="1"/>
  <c r="AN4"/>
  <c r="AN5"/>
  <c r="V64" i="20" l="1"/>
  <c r="Z63"/>
  <c r="AA63" s="1"/>
  <c r="AA32" i="19"/>
  <c r="AD31"/>
  <c r="V47"/>
  <c r="Z46"/>
  <c r="AA46" s="1"/>
  <c r="V30" i="18"/>
  <c r="G4"/>
  <c r="AN3"/>
  <c r="AN2"/>
  <c r="V65" i="20" l="1"/>
  <c r="Z64"/>
  <c r="AA64" s="1"/>
  <c r="AD32" i="19"/>
  <c r="AA33"/>
  <c r="V48"/>
  <c r="Z47"/>
  <c r="AA47" s="1"/>
  <c r="V31" i="18"/>
  <c r="G2"/>
  <c r="D2"/>
  <c r="Z30" s="1"/>
  <c r="AN1"/>
  <c r="V66" i="20" l="1"/>
  <c r="Z66" s="1"/>
  <c r="Z65"/>
  <c r="AA65" s="1"/>
  <c r="AA34" i="19"/>
  <c r="AD33"/>
  <c r="V49"/>
  <c r="Z48"/>
  <c r="AA48" s="1"/>
  <c r="V32" i="18"/>
  <c r="Z31"/>
  <c r="Z17"/>
  <c r="AA17" s="1"/>
  <c r="AD17" s="1"/>
  <c r="Z18"/>
  <c r="Z19"/>
  <c r="Z20"/>
  <c r="Z21"/>
  <c r="Z22"/>
  <c r="Z23"/>
  <c r="Z24"/>
  <c r="T10"/>
  <c r="Z25"/>
  <c r="Z26"/>
  <c r="Z27"/>
  <c r="Z28"/>
  <c r="Z29"/>
  <c r="AL43"/>
  <c r="AA66" i="20" l="1"/>
  <c r="AA35" i="19"/>
  <c r="AD34"/>
  <c r="V50"/>
  <c r="Z49"/>
  <c r="AA49" s="1"/>
  <c r="W59" i="18"/>
  <c r="T14"/>
  <c r="T12"/>
  <c r="U12" s="1"/>
  <c r="V10"/>
  <c r="U10"/>
  <c r="V33"/>
  <c r="Z32"/>
  <c r="AA18"/>
  <c r="AD18" s="1"/>
  <c r="T1"/>
  <c r="AL21"/>
  <c r="AL23"/>
  <c r="AL48"/>
  <c r="AL8"/>
  <c r="AL42"/>
  <c r="AL13"/>
  <c r="AL15"/>
  <c r="AL37"/>
  <c r="AL3"/>
  <c r="AL32"/>
  <c r="AL27"/>
  <c r="AL26"/>
  <c r="AL49"/>
  <c r="AL17"/>
  <c r="AL16"/>
  <c r="AL50"/>
  <c r="AL10"/>
  <c r="AL11"/>
  <c r="AL12"/>
  <c r="AL5"/>
  <c r="AL19"/>
  <c r="AL18"/>
  <c r="AL1"/>
  <c r="AL9"/>
  <c r="AL2"/>
  <c r="AL47"/>
  <c r="AL20"/>
  <c r="AL44"/>
  <c r="AL34"/>
  <c r="AL29"/>
  <c r="AL25"/>
  <c r="AL7"/>
  <c r="AL24"/>
  <c r="AL28"/>
  <c r="AL38"/>
  <c r="AL14"/>
  <c r="AL4"/>
  <c r="AL41"/>
  <c r="AL46"/>
  <c r="AL6"/>
  <c r="AL30"/>
  <c r="AL22"/>
  <c r="AL39"/>
  <c r="AL45"/>
  <c r="AL35"/>
  <c r="AL40"/>
  <c r="AL36"/>
  <c r="AL31"/>
  <c r="AL33"/>
  <c r="W63" l="1"/>
  <c r="W18"/>
  <c r="Y18" s="1"/>
  <c r="W55"/>
  <c r="X55" s="1"/>
  <c r="W42"/>
  <c r="Y42" s="1"/>
  <c r="W64"/>
  <c r="X64" s="1"/>
  <c r="W47"/>
  <c r="X47" s="1"/>
  <c r="W41"/>
  <c r="Y41" s="1"/>
  <c r="W32"/>
  <c r="X32" s="1"/>
  <c r="W22"/>
  <c r="Y22" s="1"/>
  <c r="W54"/>
  <c r="X54" s="1"/>
  <c r="W20"/>
  <c r="X20" s="1"/>
  <c r="W27"/>
  <c r="Y27" s="1"/>
  <c r="W21"/>
  <c r="X21" s="1"/>
  <c r="W53"/>
  <c r="Y53" s="1"/>
  <c r="W24"/>
  <c r="X24" s="1"/>
  <c r="W34"/>
  <c r="Y34" s="1"/>
  <c r="W50"/>
  <c r="Y50" s="1"/>
  <c r="W66"/>
  <c r="Y66" s="1"/>
  <c r="W48"/>
  <c r="Y48" s="1"/>
  <c r="W23"/>
  <c r="Y23" s="1"/>
  <c r="W39"/>
  <c r="X39" s="1"/>
  <c r="W17"/>
  <c r="Y17" s="1"/>
  <c r="W33"/>
  <c r="X33" s="1"/>
  <c r="W49"/>
  <c r="Y49" s="1"/>
  <c r="W65"/>
  <c r="Y65" s="1"/>
  <c r="W44"/>
  <c r="Y44" s="1"/>
  <c r="W26"/>
  <c r="X26" s="1"/>
  <c r="W58"/>
  <c r="X58" s="1"/>
  <c r="W28"/>
  <c r="Y28" s="1"/>
  <c r="W31"/>
  <c r="Y31" s="1"/>
  <c r="W25"/>
  <c r="Y25" s="1"/>
  <c r="W57"/>
  <c r="X57" s="1"/>
  <c r="W60"/>
  <c r="X60" s="1"/>
  <c r="W38"/>
  <c r="X38" s="1"/>
  <c r="W56"/>
  <c r="Y56" s="1"/>
  <c r="W43"/>
  <c r="Y43" s="1"/>
  <c r="W37"/>
  <c r="Y37" s="1"/>
  <c r="W52"/>
  <c r="Y52" s="1"/>
  <c r="W30"/>
  <c r="X30" s="1"/>
  <c r="W46"/>
  <c r="Y46" s="1"/>
  <c r="W62"/>
  <c r="X62" s="1"/>
  <c r="W40"/>
  <c r="Y40" s="1"/>
  <c r="W19"/>
  <c r="Y19" s="1"/>
  <c r="W35"/>
  <c r="Y35" s="1"/>
  <c r="W51"/>
  <c r="X51" s="1"/>
  <c r="W29"/>
  <c r="X29" s="1"/>
  <c r="W45"/>
  <c r="Y45" s="1"/>
  <c r="W61"/>
  <c r="Y61" s="1"/>
  <c r="W36"/>
  <c r="X36" s="1"/>
  <c r="AA36" i="19"/>
  <c r="AD35"/>
  <c r="V51"/>
  <c r="Z50"/>
  <c r="AA50" s="1"/>
  <c r="X18" i="18"/>
  <c r="V34"/>
  <c r="Z33"/>
  <c r="AA19"/>
  <c r="X59"/>
  <c r="Y59"/>
  <c r="Y63"/>
  <c r="X63"/>
  <c r="Y55" l="1"/>
  <c r="Y54"/>
  <c r="X44"/>
  <c r="X56"/>
  <c r="X31"/>
  <c r="Y24"/>
  <c r="Y33"/>
  <c r="X41"/>
  <c r="X48"/>
  <c r="Y30"/>
  <c r="Y60"/>
  <c r="Y62"/>
  <c r="X52"/>
  <c r="X17"/>
  <c r="X50"/>
  <c r="Y39"/>
  <c r="Y47"/>
  <c r="Y38"/>
  <c r="X49"/>
  <c r="X23"/>
  <c r="X28"/>
  <c r="X65"/>
  <c r="Y21"/>
  <c r="X34"/>
  <c r="Y64"/>
  <c r="Y32"/>
  <c r="X61"/>
  <c r="X37"/>
  <c r="X42"/>
  <c r="X22"/>
  <c r="X43"/>
  <c r="X35"/>
  <c r="Y36"/>
  <c r="Y58"/>
  <c r="Y26"/>
  <c r="X27"/>
  <c r="X19"/>
  <c r="Y20"/>
  <c r="Y57"/>
  <c r="X45"/>
  <c r="X25"/>
  <c r="X46"/>
  <c r="Y51"/>
  <c r="X53"/>
  <c r="X40"/>
  <c r="Y29"/>
  <c r="X66"/>
  <c r="AA37" i="19"/>
  <c r="AD36"/>
  <c r="Z51"/>
  <c r="AA51" s="1"/>
  <c r="V52"/>
  <c r="V35" i="18"/>
  <c r="Z34"/>
  <c r="AD19"/>
  <c r="AA20"/>
  <c r="AA38" i="19" l="1"/>
  <c r="AD37"/>
  <c r="Z52"/>
  <c r="AA52" s="1"/>
  <c r="V53"/>
  <c r="AD20" i="18"/>
  <c r="AA21"/>
  <c r="V36"/>
  <c r="Z35"/>
  <c r="AA39" i="19" l="1"/>
  <c r="AD38"/>
  <c r="V54"/>
  <c r="Z53"/>
  <c r="AA53" s="1"/>
  <c r="AD21" i="18"/>
  <c r="AA22"/>
  <c r="V37"/>
  <c r="Z36"/>
  <c r="AD39" i="19" l="1"/>
  <c r="AA40"/>
  <c r="V55"/>
  <c r="Z54"/>
  <c r="AA54" s="1"/>
  <c r="AD22" i="18"/>
  <c r="AA23"/>
  <c r="V38"/>
  <c r="Z37"/>
  <c r="AA41" i="19" l="1"/>
  <c r="AD40"/>
  <c r="V56"/>
  <c r="Z55"/>
  <c r="AA55" s="1"/>
  <c r="V39" i="18"/>
  <c r="Z38"/>
  <c r="AD23"/>
  <c r="AA24"/>
  <c r="AA42" i="19" l="1"/>
  <c r="AD41"/>
  <c r="V57"/>
  <c r="Z56"/>
  <c r="AA56" s="1"/>
  <c r="V40" i="18"/>
  <c r="Z39"/>
  <c r="AD24"/>
  <c r="AA25"/>
  <c r="AA43" i="19" l="1"/>
  <c r="AD43" s="1"/>
  <c r="AD42"/>
  <c r="V58"/>
  <c r="Z57"/>
  <c r="AA57" s="1"/>
  <c r="AD25" i="18"/>
  <c r="AA26"/>
  <c r="V41"/>
  <c r="Z40"/>
  <c r="V59" i="19" l="1"/>
  <c r="Z58"/>
  <c r="AA58" s="1"/>
  <c r="AD26" i="18"/>
  <c r="AA27"/>
  <c r="V42"/>
  <c r="Z41"/>
  <c r="V60" i="19" l="1"/>
  <c r="Z59"/>
  <c r="AA59" s="1"/>
  <c r="AD27" i="18"/>
  <c r="AA28"/>
  <c r="V43"/>
  <c r="Z42"/>
  <c r="V61" i="19" l="1"/>
  <c r="Z60"/>
  <c r="AA60" s="1"/>
  <c r="V44" i="18"/>
  <c r="Z43"/>
  <c r="AD28"/>
  <c r="AA29"/>
  <c r="V62" i="19" l="1"/>
  <c r="Z61"/>
  <c r="AA61" s="1"/>
  <c r="V45" i="18"/>
  <c r="Z44"/>
  <c r="AD29"/>
  <c r="AA30"/>
  <c r="V63" i="19" l="1"/>
  <c r="Z62"/>
  <c r="AA62" s="1"/>
  <c r="AD30" i="18"/>
  <c r="AA31"/>
  <c r="V46"/>
  <c r="Z45"/>
  <c r="AD31" l="1"/>
  <c r="AA32"/>
  <c r="V64" i="19"/>
  <c r="Z63"/>
  <c r="AA63" s="1"/>
  <c r="V47" i="18"/>
  <c r="Z46"/>
  <c r="AA33" l="1"/>
  <c r="V65" i="19"/>
  <c r="Z64"/>
  <c r="AA64" s="1"/>
  <c r="V48" i="18"/>
  <c r="Z47"/>
  <c r="AA34" l="1"/>
  <c r="V66" i="19"/>
  <c r="Z65"/>
  <c r="AA65" s="1"/>
  <c r="V49" i="18"/>
  <c r="Z48"/>
  <c r="AA35" l="1"/>
  <c r="Z66" i="19"/>
  <c r="AA66" s="1"/>
  <c r="D41"/>
  <c r="V50" i="18"/>
  <c r="Z49"/>
  <c r="AA36" l="1"/>
  <c r="V51"/>
  <c r="Z50"/>
  <c r="AA37" l="1"/>
  <c r="V52"/>
  <c r="Z51"/>
  <c r="AA38" l="1"/>
  <c r="V53"/>
  <c r="Z52"/>
  <c r="AA39" l="1"/>
  <c r="V54"/>
  <c r="Z53"/>
  <c r="AA40" l="1"/>
  <c r="V55"/>
  <c r="Z54"/>
  <c r="AA41" l="1"/>
  <c r="V56"/>
  <c r="Z55"/>
  <c r="AA42" l="1"/>
  <c r="V57"/>
  <c r="Z56"/>
  <c r="AA43" l="1"/>
  <c r="V58"/>
  <c r="Z57"/>
  <c r="AA44" l="1"/>
  <c r="V59"/>
  <c r="Z58"/>
  <c r="AA45" l="1"/>
  <c r="V60"/>
  <c r="Z59"/>
  <c r="AA46" l="1"/>
  <c r="V61"/>
  <c r="Z60"/>
  <c r="AA47" l="1"/>
  <c r="V62"/>
  <c r="Z61"/>
  <c r="AA48" l="1"/>
  <c r="V63"/>
  <c r="Z62"/>
  <c r="AA49" l="1"/>
  <c r="V64"/>
  <c r="Z63"/>
  <c r="AA50" l="1"/>
  <c r="V65"/>
  <c r="Z64"/>
  <c r="AA51" l="1"/>
  <c r="V66"/>
  <c r="Z65"/>
  <c r="AA52" l="1"/>
  <c r="Z66"/>
  <c r="D41"/>
  <c r="AA53" l="1"/>
  <c r="G3" i="7"/>
  <c r="E33" i="8"/>
  <c r="G6" s="1"/>
  <c r="D40" i="7"/>
  <c r="G5"/>
  <c r="D3"/>
  <c r="D34" i="8"/>
  <c r="AZ29"/>
  <c r="H29"/>
  <c r="BD28"/>
  <c r="BC28"/>
  <c r="BB28"/>
  <c r="BA28"/>
  <c r="AZ28"/>
  <c r="AY28"/>
  <c r="AX28"/>
  <c r="AW28"/>
  <c r="AW29" s="1"/>
  <c r="AV28"/>
  <c r="AU28"/>
  <c r="AT28"/>
  <c r="AS28"/>
  <c r="AR28"/>
  <c r="AQ28"/>
  <c r="AP28"/>
  <c r="AO28"/>
  <c r="AO29" s="1"/>
  <c r="AN28"/>
  <c r="AM28"/>
  <c r="AN29" s="1"/>
  <c r="AL28"/>
  <c r="AK28"/>
  <c r="AJ28"/>
  <c r="AI28"/>
  <c r="AH28"/>
  <c r="AG28"/>
  <c r="AG29" s="1"/>
  <c r="AF28"/>
  <c r="AE28"/>
  <c r="AD28"/>
  <c r="AC28"/>
  <c r="AC29" s="1"/>
  <c r="AB28"/>
  <c r="AA28"/>
  <c r="Z28"/>
  <c r="Y28"/>
  <c r="Y29" s="1"/>
  <c r="X28"/>
  <c r="W28"/>
  <c r="V28"/>
  <c r="U28"/>
  <c r="T28"/>
  <c r="S28"/>
  <c r="T29" s="1"/>
  <c r="R28"/>
  <c r="Q28"/>
  <c r="Q29" s="1"/>
  <c r="P28"/>
  <c r="O28"/>
  <c r="N28"/>
  <c r="M28"/>
  <c r="L28"/>
  <c r="K28"/>
  <c r="J28"/>
  <c r="I28"/>
  <c r="I29" s="1"/>
  <c r="H28"/>
  <c r="G28"/>
  <c r="BD24"/>
  <c r="BC24"/>
  <c r="BB24"/>
  <c r="BA24"/>
  <c r="AZ24"/>
  <c r="AY24"/>
  <c r="AX24"/>
  <c r="AW24"/>
  <c r="AV24"/>
  <c r="AU24"/>
  <c r="AT24"/>
  <c r="AS24"/>
  <c r="AR24"/>
  <c r="AQ24"/>
  <c r="AP24"/>
  <c r="AO24"/>
  <c r="AN24"/>
  <c r="AM24"/>
  <c r="AN25" s="1"/>
  <c r="AL24"/>
  <c r="AK24"/>
  <c r="AJ24"/>
  <c r="AI24"/>
  <c r="AH24"/>
  <c r="AG24"/>
  <c r="AF24"/>
  <c r="AE24"/>
  <c r="AF25" s="1"/>
  <c r="AD24"/>
  <c r="AC24"/>
  <c r="AB24"/>
  <c r="AA24"/>
  <c r="Z24"/>
  <c r="Y24"/>
  <c r="X24"/>
  <c r="W24"/>
  <c r="V24"/>
  <c r="U24"/>
  <c r="T24"/>
  <c r="S24"/>
  <c r="R24"/>
  <c r="Q24"/>
  <c r="P24"/>
  <c r="O24"/>
  <c r="N24"/>
  <c r="M24"/>
  <c r="L24"/>
  <c r="K24"/>
  <c r="J24"/>
  <c r="I24"/>
  <c r="H24"/>
  <c r="G24"/>
  <c r="H25" s="1"/>
  <c r="AD21"/>
  <c r="BD20"/>
  <c r="BC20"/>
  <c r="BB20"/>
  <c r="BB21" s="1"/>
  <c r="BA20"/>
  <c r="AZ20"/>
  <c r="AY20"/>
  <c r="AX20"/>
  <c r="AW20"/>
  <c r="AV20"/>
  <c r="AU20"/>
  <c r="AT20"/>
  <c r="AS20"/>
  <c r="AT21" s="1"/>
  <c r="AR20"/>
  <c r="AQ20"/>
  <c r="AP20"/>
  <c r="AO20"/>
  <c r="AN20"/>
  <c r="AM20"/>
  <c r="AL20"/>
  <c r="AK20"/>
  <c r="AL21" s="1"/>
  <c r="AJ20"/>
  <c r="AI20"/>
  <c r="AH20"/>
  <c r="AG20"/>
  <c r="AF20"/>
  <c r="AE20"/>
  <c r="AD20"/>
  <c r="AC20"/>
  <c r="AB20"/>
  <c r="AA20"/>
  <c r="Z20"/>
  <c r="Y20"/>
  <c r="X20"/>
  <c r="W20"/>
  <c r="V20"/>
  <c r="V21" s="1"/>
  <c r="U20"/>
  <c r="T20"/>
  <c r="S20"/>
  <c r="R20"/>
  <c r="Q20"/>
  <c r="P20"/>
  <c r="O20"/>
  <c r="N20"/>
  <c r="M20"/>
  <c r="N21" s="1"/>
  <c r="L20"/>
  <c r="K20"/>
  <c r="J20"/>
  <c r="I20"/>
  <c r="H20"/>
  <c r="G20"/>
  <c r="AT17"/>
  <c r="BD16"/>
  <c r="BC16"/>
  <c r="BB16"/>
  <c r="BA16"/>
  <c r="AZ16"/>
  <c r="AY16"/>
  <c r="AX16"/>
  <c r="AW16"/>
  <c r="AV16"/>
  <c r="AW17" s="1"/>
  <c r="AU16"/>
  <c r="AT16"/>
  <c r="AS16"/>
  <c r="AR16"/>
  <c r="AS17" s="1"/>
  <c r="AQ16"/>
  <c r="AP16"/>
  <c r="AO16"/>
  <c r="AN16"/>
  <c r="AM16"/>
  <c r="AL16"/>
  <c r="AK16"/>
  <c r="AJ16"/>
  <c r="AK17" s="1"/>
  <c r="AI16"/>
  <c r="AH16"/>
  <c r="AG16"/>
  <c r="AF16"/>
  <c r="AG17" s="1"/>
  <c r="AE16"/>
  <c r="AD16"/>
  <c r="AC16"/>
  <c r="AB16"/>
  <c r="AC17" s="1"/>
  <c r="AA16"/>
  <c r="Z16"/>
  <c r="Y16"/>
  <c r="X16"/>
  <c r="Y17" s="1"/>
  <c r="W16"/>
  <c r="V16"/>
  <c r="U16"/>
  <c r="T16"/>
  <c r="S16"/>
  <c r="R16"/>
  <c r="Q16"/>
  <c r="P16"/>
  <c r="Q17" s="1"/>
  <c r="O16"/>
  <c r="N16"/>
  <c r="M16"/>
  <c r="N17" s="1"/>
  <c r="L16"/>
  <c r="M17" s="1"/>
  <c r="K16"/>
  <c r="J16"/>
  <c r="I16"/>
  <c r="H16"/>
  <c r="G16"/>
  <c r="H13"/>
  <c r="BD12"/>
  <c r="BC12"/>
  <c r="BB12"/>
  <c r="BA12"/>
  <c r="BA13" s="1"/>
  <c r="AZ12"/>
  <c r="AY12"/>
  <c r="AX12"/>
  <c r="AW12"/>
  <c r="AW13" s="1"/>
  <c r="AV12"/>
  <c r="AU12"/>
  <c r="AT12"/>
  <c r="AS12"/>
  <c r="AS13" s="1"/>
  <c r="AR12"/>
  <c r="AQ12"/>
  <c r="AP12"/>
  <c r="AO12"/>
  <c r="AN12"/>
  <c r="AM12"/>
  <c r="AN13" s="1"/>
  <c r="AL12"/>
  <c r="AK12"/>
  <c r="AK13" s="1"/>
  <c r="AJ12"/>
  <c r="AI12"/>
  <c r="AH12"/>
  <c r="AG12"/>
  <c r="AF12"/>
  <c r="AE12"/>
  <c r="AD12"/>
  <c r="AC12"/>
  <c r="AB12"/>
  <c r="AA12"/>
  <c r="AB13" s="1"/>
  <c r="Z12"/>
  <c r="Y12"/>
  <c r="X12"/>
  <c r="W12"/>
  <c r="V12"/>
  <c r="U12"/>
  <c r="T12"/>
  <c r="S12"/>
  <c r="R12"/>
  <c r="Q12"/>
  <c r="Q13" s="1"/>
  <c r="P12"/>
  <c r="O12"/>
  <c r="N12"/>
  <c r="M12"/>
  <c r="M13" s="1"/>
  <c r="L12"/>
  <c r="K12"/>
  <c r="J12"/>
  <c r="I12"/>
  <c r="H12"/>
  <c r="G12"/>
  <c r="BD8"/>
  <c r="BC8"/>
  <c r="BB8"/>
  <c r="BA8"/>
  <c r="AZ8"/>
  <c r="AY8"/>
  <c r="AZ9" s="1"/>
  <c r="AX8"/>
  <c r="AY9" s="1"/>
  <c r="AW8"/>
  <c r="AV8"/>
  <c r="AU8"/>
  <c r="AT8"/>
  <c r="AS8"/>
  <c r="AR8"/>
  <c r="AQ8"/>
  <c r="AP8"/>
  <c r="AQ9" s="1"/>
  <c r="AO8"/>
  <c r="AN8"/>
  <c r="AM8"/>
  <c r="AL8"/>
  <c r="AM9" s="1"/>
  <c r="AK8"/>
  <c r="AJ8"/>
  <c r="AI8"/>
  <c r="AH8"/>
  <c r="AI9" s="1"/>
  <c r="AG8"/>
  <c r="AF8"/>
  <c r="AE8"/>
  <c r="AD8"/>
  <c r="AE9" s="1"/>
  <c r="AC8"/>
  <c r="AB8"/>
  <c r="AA8"/>
  <c r="Z8"/>
  <c r="Y8"/>
  <c r="X8"/>
  <c r="W8"/>
  <c r="V8"/>
  <c r="U8"/>
  <c r="T8"/>
  <c r="S8"/>
  <c r="T9" s="1"/>
  <c r="R8"/>
  <c r="S9" s="1"/>
  <c r="Q8"/>
  <c r="P8"/>
  <c r="O8"/>
  <c r="N8"/>
  <c r="M8"/>
  <c r="L8"/>
  <c r="K8"/>
  <c r="J8"/>
  <c r="K9" s="1"/>
  <c r="I8"/>
  <c r="H8"/>
  <c r="G8"/>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O5" s="1"/>
  <c r="M4"/>
  <c r="L4"/>
  <c r="K4"/>
  <c r="J4"/>
  <c r="I4"/>
  <c r="H4"/>
  <c r="AN2" i="7"/>
  <c r="AA54" i="18" l="1"/>
  <c r="X29" i="8"/>
  <c r="AF29"/>
  <c r="BD29"/>
  <c r="O25"/>
  <c r="AI25"/>
  <c r="AQ25"/>
  <c r="AU25"/>
  <c r="P25"/>
  <c r="AV25"/>
  <c r="G22"/>
  <c r="J21"/>
  <c r="AH21"/>
  <c r="AP21"/>
  <c r="V17"/>
  <c r="BB17"/>
  <c r="L13"/>
  <c r="T13"/>
  <c r="X13"/>
  <c r="AR13"/>
  <c r="AZ13"/>
  <c r="BD13"/>
  <c r="H9"/>
  <c r="P9"/>
  <c r="X9"/>
  <c r="AB9"/>
  <c r="AF9"/>
  <c r="AN9"/>
  <c r="AV9"/>
  <c r="R5"/>
  <c r="BB5"/>
  <c r="N5"/>
  <c r="V5"/>
  <c r="I10"/>
  <c r="M10"/>
  <c r="Q10"/>
  <c r="U10"/>
  <c r="Y10"/>
  <c r="AC10"/>
  <c r="AG10"/>
  <c r="AK10"/>
  <c r="AO10"/>
  <c r="AS10"/>
  <c r="AW10"/>
  <c r="BA10"/>
  <c r="J10"/>
  <c r="AQ14"/>
  <c r="K14"/>
  <c r="I18"/>
  <c r="M18"/>
  <c r="Q18"/>
  <c r="U18"/>
  <c r="Y18"/>
  <c r="AC18"/>
  <c r="AG18"/>
  <c r="AK18"/>
  <c r="AO18"/>
  <c r="AS18"/>
  <c r="AW18"/>
  <c r="BA18"/>
  <c r="AJ18"/>
  <c r="P18"/>
  <c r="I6"/>
  <c r="Y6"/>
  <c r="AG6"/>
  <c r="AW6"/>
  <c r="U6"/>
  <c r="AP10"/>
  <c r="AF6"/>
  <c r="AR6"/>
  <c r="BD10"/>
  <c r="AH10"/>
  <c r="H14"/>
  <c r="L14"/>
  <c r="P14"/>
  <c r="T14"/>
  <c r="X14"/>
  <c r="AB14"/>
  <c r="AF14"/>
  <c r="AJ14"/>
  <c r="AN14"/>
  <c r="AR14"/>
  <c r="AV14"/>
  <c r="AZ14"/>
  <c r="BD14"/>
  <c r="G14"/>
  <c r="AM14"/>
  <c r="H18"/>
  <c r="T18"/>
  <c r="AN18"/>
  <c r="AZ18"/>
  <c r="L18"/>
  <c r="AF18"/>
  <c r="BD18"/>
  <c r="J22"/>
  <c r="N22"/>
  <c r="R22"/>
  <c r="V22"/>
  <c r="Z22"/>
  <c r="AD22"/>
  <c r="AH22"/>
  <c r="AL22"/>
  <c r="AP22"/>
  <c r="AT22"/>
  <c r="AX22"/>
  <c r="BB22"/>
  <c r="U22"/>
  <c r="AN22"/>
  <c r="BD22"/>
  <c r="J26"/>
  <c r="R26"/>
  <c r="V26"/>
  <c r="Z26"/>
  <c r="AD26"/>
  <c r="AL26"/>
  <c r="AX26"/>
  <c r="BB26"/>
  <c r="G30"/>
  <c r="R30"/>
  <c r="AD30"/>
  <c r="AM30"/>
  <c r="AX30"/>
  <c r="K6"/>
  <c r="O6"/>
  <c r="S6"/>
  <c r="W6"/>
  <c r="AA6"/>
  <c r="AE6"/>
  <c r="AI6"/>
  <c r="AM6"/>
  <c r="AQ6"/>
  <c r="AU6"/>
  <c r="AY6"/>
  <c r="BC6"/>
  <c r="G10"/>
  <c r="K10"/>
  <c r="O10"/>
  <c r="S10"/>
  <c r="W10"/>
  <c r="AA10"/>
  <c r="AE10"/>
  <c r="AI10"/>
  <c r="AM10"/>
  <c r="AQ10"/>
  <c r="AU10"/>
  <c r="AY10"/>
  <c r="BC10"/>
  <c r="Z10"/>
  <c r="O14"/>
  <c r="AE14"/>
  <c r="AI14"/>
  <c r="AU14"/>
  <c r="AA14"/>
  <c r="G18"/>
  <c r="O18"/>
  <c r="W18"/>
  <c r="AE18"/>
  <c r="AM18"/>
  <c r="AU18"/>
  <c r="BC18"/>
  <c r="AB18"/>
  <c r="AV18"/>
  <c r="Q22"/>
  <c r="Y22"/>
  <c r="AC22"/>
  <c r="AK22"/>
  <c r="AW22"/>
  <c r="M22"/>
  <c r="AG22"/>
  <c r="BA22"/>
  <c r="M26"/>
  <c r="AC26"/>
  <c r="AS26"/>
  <c r="H30"/>
  <c r="L30"/>
  <c r="P30"/>
  <c r="T30"/>
  <c r="X30"/>
  <c r="AB30"/>
  <c r="AF30"/>
  <c r="AJ30"/>
  <c r="AN30"/>
  <c r="AR30"/>
  <c r="AV30"/>
  <c r="AZ30"/>
  <c r="BD30"/>
  <c r="O30"/>
  <c r="Z30"/>
  <c r="AL30"/>
  <c r="AU30"/>
  <c r="H22"/>
  <c r="X22"/>
  <c r="AO22"/>
  <c r="G26"/>
  <c r="K26"/>
  <c r="O26"/>
  <c r="S26"/>
  <c r="W26"/>
  <c r="AA26"/>
  <c r="AE26"/>
  <c r="AI26"/>
  <c r="AM26"/>
  <c r="AQ26"/>
  <c r="AU26"/>
  <c r="AY26"/>
  <c r="BC26"/>
  <c r="J30"/>
  <c r="V30"/>
  <c r="AE30"/>
  <c r="AP30"/>
  <c r="BB30"/>
  <c r="J6"/>
  <c r="R6"/>
  <c r="V6"/>
  <c r="Z6"/>
  <c r="AD6"/>
  <c r="AH6"/>
  <c r="AL6"/>
  <c r="AP6"/>
  <c r="AT6"/>
  <c r="AX6"/>
  <c r="BB6"/>
  <c r="AO6"/>
  <c r="N10"/>
  <c r="V10"/>
  <c r="AD10"/>
  <c r="AL10"/>
  <c r="AT10"/>
  <c r="BB10"/>
  <c r="R10"/>
  <c r="AX10"/>
  <c r="N14"/>
  <c r="AT14"/>
  <c r="BB14"/>
  <c r="W14"/>
  <c r="BC14"/>
  <c r="X18"/>
  <c r="AR18"/>
  <c r="P22"/>
  <c r="T22"/>
  <c r="AV22"/>
  <c r="I22"/>
  <c r="AF22"/>
  <c r="AS22"/>
  <c r="BD26"/>
  <c r="K30"/>
  <c r="S30"/>
  <c r="AA30"/>
  <c r="AI30"/>
  <c r="AQ30"/>
  <c r="AY30"/>
  <c r="N30"/>
  <c r="W30"/>
  <c r="AH30"/>
  <c r="AT30"/>
  <c r="BC30"/>
  <c r="K5"/>
  <c r="AL5"/>
  <c r="BC5"/>
  <c r="K25"/>
  <c r="BC25"/>
  <c r="AH26"/>
  <c r="P13"/>
  <c r="AJ13"/>
  <c r="AV13"/>
  <c r="K21"/>
  <c r="S21"/>
  <c r="AI21"/>
  <c r="AY21"/>
  <c r="S25"/>
  <c r="AE25"/>
  <c r="AY25"/>
  <c r="N26"/>
  <c r="AT26"/>
  <c r="P29"/>
  <c r="AB29"/>
  <c r="AK29"/>
  <c r="AV29"/>
  <c r="AA9"/>
  <c r="AG13"/>
  <c r="S14"/>
  <c r="AY14"/>
  <c r="I17"/>
  <c r="U17"/>
  <c r="AD17"/>
  <c r="AO17"/>
  <c r="BA17"/>
  <c r="R21"/>
  <c r="Z21"/>
  <c r="AX21"/>
  <c r="AA25"/>
  <c r="AM25"/>
  <c r="AP26"/>
  <c r="M29"/>
  <c r="AJ29"/>
  <c r="AS29"/>
  <c r="S5"/>
  <c r="W25"/>
  <c r="J5"/>
  <c r="AH5"/>
  <c r="N6"/>
  <c r="Y13"/>
  <c r="AA21"/>
  <c r="AQ21"/>
  <c r="W5"/>
  <c r="AX5"/>
  <c r="O9"/>
  <c r="AJ9"/>
  <c r="AU9"/>
  <c r="AM5"/>
  <c r="L9"/>
  <c r="W9"/>
  <c r="AR9"/>
  <c r="BC9"/>
  <c r="I13"/>
  <c r="AF13"/>
  <c r="AO13"/>
  <c r="AL17"/>
  <c r="O21"/>
  <c r="W21"/>
  <c r="AE21"/>
  <c r="AM21"/>
  <c r="AU21"/>
  <c r="BC21"/>
  <c r="X25"/>
  <c r="BD25"/>
  <c r="L29"/>
  <c r="U29"/>
  <c r="AR29"/>
  <c r="BA29"/>
  <c r="Y5"/>
  <c r="AC5"/>
  <c r="AK5"/>
  <c r="AO5"/>
  <c r="AW5"/>
  <c r="BA5"/>
  <c r="K13"/>
  <c r="S13"/>
  <c r="W13"/>
  <c r="AE13"/>
  <c r="AI13"/>
  <c r="AQ13"/>
  <c r="AY13"/>
  <c r="J25"/>
  <c r="R25"/>
  <c r="V25"/>
  <c r="Z25"/>
  <c r="AH25"/>
  <c r="AL25"/>
  <c r="AP25"/>
  <c r="AX25"/>
  <c r="BB25"/>
  <c r="J13"/>
  <c r="I14"/>
  <c r="R13"/>
  <c r="Q14"/>
  <c r="V13"/>
  <c r="U14"/>
  <c r="AD13"/>
  <c r="AC14"/>
  <c r="AH13"/>
  <c r="AG14"/>
  <c r="AP13"/>
  <c r="AO14"/>
  <c r="AX13"/>
  <c r="AW14"/>
  <c r="I21"/>
  <c r="M21"/>
  <c r="Q21"/>
  <c r="Y21"/>
  <c r="AC21"/>
  <c r="AG21"/>
  <c r="AK21"/>
  <c r="AO21"/>
  <c r="AS21"/>
  <c r="AW21"/>
  <c r="BA21"/>
  <c r="I25"/>
  <c r="H26"/>
  <c r="M25"/>
  <c r="L26"/>
  <c r="Q25"/>
  <c r="P26"/>
  <c r="U25"/>
  <c r="T26"/>
  <c r="Y25"/>
  <c r="X26"/>
  <c r="AC25"/>
  <c r="AB26"/>
  <c r="AG25"/>
  <c r="AF26"/>
  <c r="AK25"/>
  <c r="AJ26"/>
  <c r="AO25"/>
  <c r="AN26"/>
  <c r="AS25"/>
  <c r="AR26"/>
  <c r="AW25"/>
  <c r="AV26"/>
  <c r="BA25"/>
  <c r="AZ26"/>
  <c r="J9"/>
  <c r="N9"/>
  <c r="R9"/>
  <c r="V9"/>
  <c r="Z9"/>
  <c r="AD9"/>
  <c r="AH9"/>
  <c r="AL9"/>
  <c r="AP9"/>
  <c r="AT9"/>
  <c r="AX9"/>
  <c r="BB9"/>
  <c r="H17"/>
  <c r="L17"/>
  <c r="P17"/>
  <c r="T17"/>
  <c r="X17"/>
  <c r="AB17"/>
  <c r="AF17"/>
  <c r="AJ17"/>
  <c r="AN17"/>
  <c r="AR17"/>
  <c r="AV17"/>
  <c r="AZ17"/>
  <c r="BD17"/>
  <c r="H21"/>
  <c r="L21"/>
  <c r="K22"/>
  <c r="P21"/>
  <c r="O22"/>
  <c r="T21"/>
  <c r="S22"/>
  <c r="X21"/>
  <c r="W22"/>
  <c r="AB21"/>
  <c r="AA22"/>
  <c r="AF21"/>
  <c r="AE22"/>
  <c r="AJ21"/>
  <c r="AI22"/>
  <c r="AN21"/>
  <c r="AM22"/>
  <c r="AR21"/>
  <c r="AQ22"/>
  <c r="AV21"/>
  <c r="AU22"/>
  <c r="AZ21"/>
  <c r="AY22"/>
  <c r="BD21"/>
  <c r="BC22"/>
  <c r="K29"/>
  <c r="O29"/>
  <c r="S29"/>
  <c r="W29"/>
  <c r="AA29"/>
  <c r="AE29"/>
  <c r="AI29"/>
  <c r="AM29"/>
  <c r="AQ29"/>
  <c r="AU29"/>
  <c r="AY29"/>
  <c r="BC29"/>
  <c r="AB5"/>
  <c r="P6"/>
  <c r="AB6"/>
  <c r="AA5"/>
  <c r="AV5"/>
  <c r="T6"/>
  <c r="V14"/>
  <c r="AD14"/>
  <c r="U26"/>
  <c r="AK26"/>
  <c r="BA26"/>
  <c r="I5"/>
  <c r="M5"/>
  <c r="Q5"/>
  <c r="U5"/>
  <c r="Z5"/>
  <c r="AE5"/>
  <c r="AJ5"/>
  <c r="AP5"/>
  <c r="AU5"/>
  <c r="AZ5"/>
  <c r="H6"/>
  <c r="M6"/>
  <c r="X6"/>
  <c r="AN6"/>
  <c r="AV6"/>
  <c r="BD6"/>
  <c r="BD9"/>
  <c r="U13"/>
  <c r="AC13"/>
  <c r="K18"/>
  <c r="S18"/>
  <c r="AA18"/>
  <c r="AI18"/>
  <c r="AQ18"/>
  <c r="AY18"/>
  <c r="L22"/>
  <c r="AB22"/>
  <c r="AJ22"/>
  <c r="AR22"/>
  <c r="AZ22"/>
  <c r="L25"/>
  <c r="T25"/>
  <c r="AB25"/>
  <c r="AJ25"/>
  <c r="AR25"/>
  <c r="AZ25"/>
  <c r="AG5"/>
  <c r="AS5"/>
  <c r="O13"/>
  <c r="AA13"/>
  <c r="AM13"/>
  <c r="AU13"/>
  <c r="BC13"/>
  <c r="N25"/>
  <c r="AD25"/>
  <c r="AT25"/>
  <c r="N13"/>
  <c r="M14"/>
  <c r="Z13"/>
  <c r="Y14"/>
  <c r="AL13"/>
  <c r="AK14"/>
  <c r="AT13"/>
  <c r="AS14"/>
  <c r="BB13"/>
  <c r="BA14"/>
  <c r="U21"/>
  <c r="I9"/>
  <c r="H10"/>
  <c r="M9"/>
  <c r="L10"/>
  <c r="Q9"/>
  <c r="P10"/>
  <c r="U9"/>
  <c r="T10"/>
  <c r="Y9"/>
  <c r="X10"/>
  <c r="AC9"/>
  <c r="AB10"/>
  <c r="AG9"/>
  <c r="AF10"/>
  <c r="AK9"/>
  <c r="AJ10"/>
  <c r="AO9"/>
  <c r="AN10"/>
  <c r="AS9"/>
  <c r="AR10"/>
  <c r="AW9"/>
  <c r="AV10"/>
  <c r="BA9"/>
  <c r="AZ10"/>
  <c r="K17"/>
  <c r="J18"/>
  <c r="O17"/>
  <c r="N18"/>
  <c r="S17"/>
  <c r="R18"/>
  <c r="W17"/>
  <c r="V18"/>
  <c r="AA17"/>
  <c r="Z18"/>
  <c r="AE17"/>
  <c r="AD18"/>
  <c r="AI17"/>
  <c r="AH18"/>
  <c r="AM17"/>
  <c r="AL18"/>
  <c r="AQ17"/>
  <c r="AP18"/>
  <c r="AU17"/>
  <c r="AT18"/>
  <c r="AY17"/>
  <c r="AX18"/>
  <c r="BC17"/>
  <c r="BB18"/>
  <c r="J29"/>
  <c r="I30"/>
  <c r="N29"/>
  <c r="M30"/>
  <c r="R29"/>
  <c r="Q30"/>
  <c r="V29"/>
  <c r="U30"/>
  <c r="Z29"/>
  <c r="Y30"/>
  <c r="AD29"/>
  <c r="AC30"/>
  <c r="AH29"/>
  <c r="AG30"/>
  <c r="AL29"/>
  <c r="AK30"/>
  <c r="AP29"/>
  <c r="AO30"/>
  <c r="AT29"/>
  <c r="AS30"/>
  <c r="AX29"/>
  <c r="AW30"/>
  <c r="BB29"/>
  <c r="BA30"/>
  <c r="AR5"/>
  <c r="AJ6"/>
  <c r="AZ6"/>
  <c r="AF5"/>
  <c r="AQ5"/>
  <c r="AL14"/>
  <c r="H5"/>
  <c r="L5"/>
  <c r="P5"/>
  <c r="T5"/>
  <c r="X5"/>
  <c r="AD5"/>
  <c r="AI5"/>
  <c r="AN5"/>
  <c r="AT5"/>
  <c r="AY5"/>
  <c r="BD5"/>
  <c r="L6"/>
  <c r="Q6"/>
  <c r="AC6"/>
  <c r="AK6"/>
  <c r="AS6"/>
  <c r="BA6"/>
  <c r="J14"/>
  <c r="R14"/>
  <c r="Z14"/>
  <c r="AH14"/>
  <c r="AP14"/>
  <c r="AX14"/>
  <c r="J17"/>
  <c r="R17"/>
  <c r="Z17"/>
  <c r="AH17"/>
  <c r="AP17"/>
  <c r="AX17"/>
  <c r="I26"/>
  <c r="Q26"/>
  <c r="Y26"/>
  <c r="AG26"/>
  <c r="AO26"/>
  <c r="AW26"/>
  <c r="C48" i="7"/>
  <c r="AM12" i="20"/>
  <c r="AM4"/>
  <c r="AM17" i="19"/>
  <c r="AM23" i="20"/>
  <c r="AM25"/>
  <c r="AM27"/>
  <c r="AM8"/>
  <c r="AM22" i="18"/>
  <c r="AM44" i="21"/>
  <c r="AM36"/>
  <c r="AM44" i="22"/>
  <c r="AM29"/>
  <c r="AM24" i="21"/>
  <c r="AM6" i="22"/>
  <c r="AM19" i="18"/>
  <c r="AM1" i="19"/>
  <c r="AM48" i="20"/>
  <c r="AM31"/>
  <c r="AM7" i="19"/>
  <c r="AM28" i="18"/>
  <c r="AM3" i="22"/>
  <c r="AM45"/>
  <c r="AM10" i="18"/>
  <c r="AM36" i="22"/>
  <c r="AM17"/>
  <c r="AM46" i="21"/>
  <c r="AM18" i="22"/>
  <c r="AM31" i="19"/>
  <c r="AM30"/>
  <c r="AM40"/>
  <c r="AM35" i="18"/>
  <c r="AM15" i="22"/>
  <c r="AM2"/>
  <c r="AM9"/>
  <c r="AM15" i="21"/>
  <c r="AM35" i="22"/>
  <c r="AM11" i="21"/>
  <c r="AM39" i="22"/>
  <c r="AM48" i="18"/>
  <c r="AM44" i="20"/>
  <c r="AM36"/>
  <c r="AM44" i="19"/>
  <c r="AM29"/>
  <c r="AM24" i="20"/>
  <c r="AM6" i="19"/>
  <c r="AM3" i="18"/>
  <c r="AM17"/>
  <c r="AM26" i="19"/>
  <c r="AM47" i="20"/>
  <c r="AM24" i="19"/>
  <c r="AM21" i="18"/>
  <c r="AM30" i="22"/>
  <c r="AM19" i="21"/>
  <c r="AM46" i="22"/>
  <c r="AM4"/>
  <c r="AM10"/>
  <c r="AM27"/>
  <c r="AM34"/>
  <c r="AM32" i="19"/>
  <c r="AM28"/>
  <c r="AM43" i="20"/>
  <c r="AM1" i="18"/>
  <c r="AM36" i="19"/>
  <c r="AM40" i="20"/>
  <c r="AM22" i="19"/>
  <c r="AM18"/>
  <c r="AM48" i="22"/>
  <c r="AM12"/>
  <c r="AM8"/>
  <c r="AM38" i="18"/>
  <c r="AM2" i="19"/>
  <c r="AM38"/>
  <c r="AM8" i="18"/>
  <c r="AM32" i="21"/>
  <c r="AM2" i="18"/>
  <c r="AM13" i="21"/>
  <c r="AM10"/>
  <c r="AM49" i="18"/>
  <c r="AM39"/>
  <c r="AM38" i="21"/>
  <c r="AM38" i="22"/>
  <c r="AM37"/>
  <c r="AM16" i="18"/>
  <c r="AM50" i="20"/>
  <c r="AM29"/>
  <c r="AM42" i="18"/>
  <c r="AM38" i="20"/>
  <c r="AM40" i="18"/>
  <c r="AM13" i="22"/>
  <c r="AM36" i="18"/>
  <c r="AM23" i="21"/>
  <c r="AM32" i="18"/>
  <c r="AM19" i="20"/>
  <c r="AM47" i="18"/>
  <c r="AM4" i="19"/>
  <c r="AM13" i="20"/>
  <c r="AM27" i="19"/>
  <c r="AM10" i="20"/>
  <c r="AM13" i="18"/>
  <c r="AM18" i="21"/>
  <c r="AM30"/>
  <c r="AM16"/>
  <c r="AM4" i="18"/>
  <c r="AM6" i="20"/>
  <c r="AM42" i="19"/>
  <c r="AM2" i="21"/>
  <c r="AM20"/>
  <c r="AM18" i="18"/>
  <c r="AM7" i="21"/>
  <c r="AM12" i="18"/>
  <c r="AM32" i="20"/>
  <c r="AM49"/>
  <c r="AM41" i="22"/>
  <c r="AM5"/>
  <c r="AM7"/>
  <c r="AM16" i="19"/>
  <c r="AM18" i="20"/>
  <c r="AM30"/>
  <c r="AM16"/>
  <c r="AM29" i="18"/>
  <c r="AM41" i="19"/>
  <c r="AM31" i="22"/>
  <c r="AM19"/>
  <c r="AM22" i="21"/>
  <c r="AM17"/>
  <c r="AM46" i="18"/>
  <c r="AM14" i="19"/>
  <c r="AM43"/>
  <c r="AM10"/>
  <c r="AM33"/>
  <c r="AM39" i="20"/>
  <c r="AM17"/>
  <c r="AM34" i="19"/>
  <c r="AM43" i="18"/>
  <c r="AM6"/>
  <c r="AM47" i="22"/>
  <c r="AM5" i="21"/>
  <c r="AM33"/>
  <c r="AM3"/>
  <c r="AM26"/>
  <c r="AM23" i="18"/>
  <c r="AM26"/>
  <c r="AM15" i="19"/>
  <c r="AM9"/>
  <c r="AM14" i="20"/>
  <c r="AM42"/>
  <c r="AM32" i="22"/>
  <c r="AM37" i="21"/>
  <c r="AM40" i="22"/>
  <c r="AM37" i="18"/>
  <c r="AM43" i="22"/>
  <c r="AM33"/>
  <c r="AM21"/>
  <c r="AM45" i="18"/>
  <c r="AM34" i="20"/>
  <c r="AM50" i="19"/>
  <c r="AM20" i="20"/>
  <c r="AM20" i="18"/>
  <c r="AM11" i="22"/>
  <c r="AM48" i="21"/>
  <c r="AM25" i="22"/>
  <c r="AM31" i="21"/>
  <c r="AM42" i="22"/>
  <c r="AM24"/>
  <c r="AM27" i="18"/>
  <c r="AM44"/>
  <c r="AM47" i="19"/>
  <c r="AM5" i="20"/>
  <c r="AM33"/>
  <c r="AM3"/>
  <c r="AM26"/>
  <c r="AM7" i="18"/>
  <c r="AM14"/>
  <c r="AM20" i="19"/>
  <c r="AM45" i="20"/>
  <c r="AM35" i="19"/>
  <c r="AM39"/>
  <c r="AM1" i="21"/>
  <c r="AM28" i="22"/>
  <c r="AM43" i="21"/>
  <c r="AM33" i="18"/>
  <c r="AM12" i="21"/>
  <c r="AM40"/>
  <c r="AM25"/>
  <c r="AM8"/>
  <c r="AM1" i="20"/>
  <c r="AM23" i="19"/>
  <c r="AM19"/>
  <c r="AM5" i="18"/>
  <c r="AM9" i="20"/>
  <c r="AM7"/>
  <c r="AM46"/>
  <c r="AM24" i="18"/>
  <c r="AM50" i="21"/>
  <c r="AM29"/>
  <c r="AM21"/>
  <c r="AM31" i="18"/>
  <c r="AM37" i="19"/>
  <c r="AM34" i="21"/>
  <c r="AM49"/>
  <c r="AM39"/>
  <c r="AM3" i="19"/>
  <c r="AM45"/>
  <c r="AM20" i="22"/>
  <c r="AM45" i="21"/>
  <c r="AM14"/>
  <c r="AM42"/>
  <c r="AM48" i="19"/>
  <c r="AM12"/>
  <c r="AM8"/>
  <c r="AM21" i="20"/>
  <c r="AM15" i="18"/>
  <c r="AM15" i="20"/>
  <c r="AM11"/>
  <c r="AM41" i="21"/>
  <c r="AM14" i="22"/>
  <c r="AM9" i="21"/>
  <c r="AM22" i="22"/>
  <c r="AM37" i="20"/>
  <c r="AM46" i="19"/>
  <c r="AM22" i="20"/>
  <c r="AM49" i="19"/>
  <c r="AM21"/>
  <c r="AM16" i="22"/>
  <c r="AM28" i="21"/>
  <c r="AM35"/>
  <c r="AM50" i="18"/>
  <c r="AM25" i="19"/>
  <c r="AM11" i="18"/>
  <c r="AM50" i="22"/>
  <c r="AM4" i="21"/>
  <c r="AM27"/>
  <c r="AM41" i="20"/>
  <c r="AM1" i="22"/>
  <c r="AM6" i="21"/>
  <c r="AM26" i="22"/>
  <c r="AM47" i="21"/>
  <c r="AM41" i="18"/>
  <c r="AM28" i="20"/>
  <c r="AM35"/>
  <c r="AM34" i="18"/>
  <c r="AM11" i="19"/>
  <c r="AM5"/>
  <c r="AM9" i="18"/>
  <c r="AM23" i="22"/>
  <c r="AM30" i="18"/>
  <c r="AM49" i="22"/>
  <c r="AM2" i="20"/>
  <c r="AM13" i="19"/>
  <c r="AM25" i="18"/>
  <c r="AC33" l="1"/>
  <c r="AD33" s="1"/>
  <c r="AC18"/>
  <c r="AC63"/>
  <c r="AC47"/>
  <c r="AD47" s="1"/>
  <c r="AC31"/>
  <c r="AC52"/>
  <c r="AD52" s="1"/>
  <c r="AC36"/>
  <c r="AD36" s="1"/>
  <c r="AC20"/>
  <c r="AC45"/>
  <c r="AD45" s="1"/>
  <c r="AC34"/>
  <c r="AD34" s="1"/>
  <c r="AC41"/>
  <c r="AD41" s="1"/>
  <c r="AC42"/>
  <c r="AD42" s="1"/>
  <c r="AC30"/>
  <c r="AC46"/>
  <c r="AD46" s="1"/>
  <c r="AC51"/>
  <c r="AD51" s="1"/>
  <c r="AC35"/>
  <c r="AD35" s="1"/>
  <c r="AC19"/>
  <c r="AC53"/>
  <c r="AD53" s="1"/>
  <c r="AC21"/>
  <c r="AC54"/>
  <c r="AD54" s="1"/>
  <c r="AC58"/>
  <c r="AC49"/>
  <c r="AD49" s="1"/>
  <c r="AC17"/>
  <c r="AC66"/>
  <c r="AC50"/>
  <c r="AD50" s="1"/>
  <c r="AC26"/>
  <c r="AC55"/>
  <c r="AC39"/>
  <c r="AD39" s="1"/>
  <c r="AC23"/>
  <c r="AC62" i="22"/>
  <c r="AD62" s="1"/>
  <c r="AC62" i="19"/>
  <c r="AD62" s="1"/>
  <c r="AC22" i="22"/>
  <c r="AC22" i="19"/>
  <c r="AC65" i="21"/>
  <c r="AD65" s="1"/>
  <c r="AC65" i="20"/>
  <c r="AD65" s="1"/>
  <c r="AC37" i="21"/>
  <c r="AC37" i="20"/>
  <c r="AD37" s="1"/>
  <c r="AC30" i="22"/>
  <c r="AC30" i="19"/>
  <c r="AC32" i="21"/>
  <c r="AC32" i="20"/>
  <c r="AC36" i="21"/>
  <c r="AC36" i="20"/>
  <c r="AD36" s="1"/>
  <c r="AC42" i="21"/>
  <c r="AC42" i="20"/>
  <c r="AD42" s="1"/>
  <c r="AC35" i="22"/>
  <c r="AC35" i="19"/>
  <c r="AC40" i="21"/>
  <c r="AC40" i="20"/>
  <c r="AD40" s="1"/>
  <c r="AC56" i="22"/>
  <c r="AD56" s="1"/>
  <c r="AC56" i="19"/>
  <c r="AD56" s="1"/>
  <c r="AC24" i="22"/>
  <c r="AC24" i="19"/>
  <c r="AC59" i="21"/>
  <c r="AD59" s="1"/>
  <c r="AC59" i="20"/>
  <c r="AD59" s="1"/>
  <c r="AC51" i="21"/>
  <c r="AC51" i="20"/>
  <c r="AD51" s="1"/>
  <c r="AC35" i="21"/>
  <c r="AC35" i="20"/>
  <c r="AC19" i="21"/>
  <c r="AC19" i="20"/>
  <c r="AC61" i="22"/>
  <c r="AD61" s="1"/>
  <c r="AC61" i="19"/>
  <c r="AD61" s="1"/>
  <c r="AC45" i="22"/>
  <c r="AD45" s="1"/>
  <c r="AC45" i="19"/>
  <c r="AD45" s="1"/>
  <c r="AC29" i="22"/>
  <c r="AC29" i="19"/>
  <c r="AC45" i="21"/>
  <c r="AC45" i="20"/>
  <c r="AD45" s="1"/>
  <c r="AC48" i="21"/>
  <c r="AC48" i="20"/>
  <c r="AD48" s="1"/>
  <c r="AC46" i="21"/>
  <c r="AC46" i="20"/>
  <c r="AD46" s="1"/>
  <c r="AC39" i="22"/>
  <c r="AC39" i="19"/>
  <c r="AC49" i="21"/>
  <c r="AC49" i="20"/>
  <c r="AD49" s="1"/>
  <c r="AC66" i="22"/>
  <c r="AD66" s="1"/>
  <c r="AC66" i="19"/>
  <c r="AD66" s="1"/>
  <c r="AC60" i="22"/>
  <c r="AD60" s="1"/>
  <c r="AC60" i="19"/>
  <c r="AD60" s="1"/>
  <c r="AC44" i="22"/>
  <c r="AD44" s="1"/>
  <c r="AC44" i="19"/>
  <c r="AC28" i="22"/>
  <c r="AC28" i="19"/>
  <c r="AC46" i="22"/>
  <c r="AD46" s="1"/>
  <c r="AC46" i="19"/>
  <c r="AD46" s="1"/>
  <c r="AC44" i="21"/>
  <c r="AC44" i="20"/>
  <c r="AD44" s="1"/>
  <c r="AC53" i="21"/>
  <c r="AD53" s="1"/>
  <c r="AC53" i="20"/>
  <c r="AD53" s="1"/>
  <c r="AC21" i="21"/>
  <c r="AC21" i="20"/>
  <c r="AC19" i="22"/>
  <c r="AC19" i="19"/>
  <c r="AC52" i="21"/>
  <c r="AD52" s="1"/>
  <c r="AC52" i="20"/>
  <c r="AD52" s="1"/>
  <c r="AC57" i="21"/>
  <c r="AD57" s="1"/>
  <c r="AC57" i="20"/>
  <c r="AD57" s="1"/>
  <c r="AC66" i="21"/>
  <c r="AD66" s="1"/>
  <c r="AC66" i="20"/>
  <c r="AD66" s="1"/>
  <c r="AC50" i="21"/>
  <c r="AC50" i="20"/>
  <c r="AD50" s="1"/>
  <c r="AC34" i="21"/>
  <c r="AC34" i="20"/>
  <c r="AC18" i="21"/>
  <c r="AC18" i="20"/>
  <c r="AC63" i="22"/>
  <c r="AD63" s="1"/>
  <c r="AC63" i="19"/>
  <c r="AD63" s="1"/>
  <c r="AC47" i="22"/>
  <c r="AD47" s="1"/>
  <c r="AC47" i="19"/>
  <c r="AD47" s="1"/>
  <c r="AC60" i="21"/>
  <c r="AD60" s="1"/>
  <c r="AC60" i="20"/>
  <c r="AD60" s="1"/>
  <c r="AC17" i="21"/>
  <c r="AC17" i="20"/>
  <c r="AC64" i="22"/>
  <c r="AD64" s="1"/>
  <c r="AC64" i="19"/>
  <c r="AD64" s="1"/>
  <c r="AC48" i="22"/>
  <c r="AD48" s="1"/>
  <c r="AC48" i="19"/>
  <c r="AD48" s="1"/>
  <c r="AC32" i="22"/>
  <c r="AC32" i="19"/>
  <c r="AC37" i="18"/>
  <c r="AD37" s="1"/>
  <c r="AC65"/>
  <c r="AC22"/>
  <c r="AC60"/>
  <c r="AC44"/>
  <c r="AD44" s="1"/>
  <c r="AC28"/>
  <c r="AC38"/>
  <c r="AD38" s="1"/>
  <c r="AC64"/>
  <c r="AC56"/>
  <c r="AC48"/>
  <c r="AD48" s="1"/>
  <c r="AC40"/>
  <c r="AD40" s="1"/>
  <c r="AC32"/>
  <c r="AD32" s="1"/>
  <c r="AC24"/>
  <c r="AC61"/>
  <c r="AC29"/>
  <c r="AC57"/>
  <c r="AC25"/>
  <c r="AC62"/>
  <c r="AC59"/>
  <c r="AC43"/>
  <c r="AD43" s="1"/>
  <c r="AC27"/>
  <c r="AC24" i="21"/>
  <c r="AC24" i="20"/>
  <c r="AC55" i="22"/>
  <c r="AD55" s="1"/>
  <c r="AC55" i="19"/>
  <c r="AD55" s="1"/>
  <c r="AC34" i="22"/>
  <c r="AC34" i="19"/>
  <c r="AC58" i="21"/>
  <c r="AD58" s="1"/>
  <c r="AC58" i="20"/>
  <c r="AD58" s="1"/>
  <c r="AC26" i="21"/>
  <c r="AC26" i="20"/>
  <c r="AC23" i="22"/>
  <c r="AC23" i="19"/>
  <c r="AC50" i="22"/>
  <c r="AD50" s="1"/>
  <c r="AC50" i="19"/>
  <c r="AD50" s="1"/>
  <c r="AC40" i="22"/>
  <c r="AC40" i="19"/>
  <c r="AC43" i="21"/>
  <c r="AC43" i="20"/>
  <c r="AD43" s="1"/>
  <c r="AC27" i="21"/>
  <c r="AC27" i="20"/>
  <c r="AC38" i="22"/>
  <c r="AC38" i="19"/>
  <c r="AC53" i="22"/>
  <c r="AD53" s="1"/>
  <c r="AC53" i="19"/>
  <c r="AD53" s="1"/>
  <c r="AC37" i="22"/>
  <c r="AC37" i="19"/>
  <c r="AC21" i="22"/>
  <c r="AC21" i="19"/>
  <c r="AC33" i="21"/>
  <c r="AC33" i="20"/>
  <c r="AC58" i="22"/>
  <c r="AD58" s="1"/>
  <c r="AC58" i="19"/>
  <c r="AD58" s="1"/>
  <c r="AC41" i="21"/>
  <c r="AC41" i="20"/>
  <c r="AD41" s="1"/>
  <c r="AC51" i="22"/>
  <c r="AD51" s="1"/>
  <c r="AC51" i="19"/>
  <c r="AD51" s="1"/>
  <c r="AC62" i="21"/>
  <c r="AD62" s="1"/>
  <c r="AC62" i="20"/>
  <c r="AD62" s="1"/>
  <c r="AC30" i="21"/>
  <c r="AC30" i="20"/>
  <c r="AC43" i="22"/>
  <c r="AD43" s="1"/>
  <c r="AC43" i="19"/>
  <c r="AC63" i="21"/>
  <c r="AD63" s="1"/>
  <c r="AC63" i="20"/>
  <c r="AD63" s="1"/>
  <c r="AC55" i="21"/>
  <c r="AD55" s="1"/>
  <c r="AC55" i="20"/>
  <c r="AD55" s="1"/>
  <c r="AC47" i="21"/>
  <c r="AC47" i="20"/>
  <c r="AD47" s="1"/>
  <c r="AC39" i="21"/>
  <c r="AC39" i="20"/>
  <c r="AD39" s="1"/>
  <c r="AC31" i="21"/>
  <c r="AC31" i="20"/>
  <c r="AC23" i="21"/>
  <c r="AC23" i="20"/>
  <c r="AC54" i="22"/>
  <c r="AD54" s="1"/>
  <c r="AC54" i="19"/>
  <c r="AD54" s="1"/>
  <c r="AC65" i="22"/>
  <c r="AD65" s="1"/>
  <c r="AC65" i="19"/>
  <c r="AD65" s="1"/>
  <c r="AC57" i="22"/>
  <c r="AD57" s="1"/>
  <c r="AC57" i="19"/>
  <c r="AD57" s="1"/>
  <c r="AC49" i="22"/>
  <c r="AD49" s="1"/>
  <c r="AC49" i="19"/>
  <c r="AD49" s="1"/>
  <c r="AC41" i="22"/>
  <c r="AC41" i="19"/>
  <c r="AC33" i="22"/>
  <c r="AC33" i="19"/>
  <c r="AC25" i="22"/>
  <c r="AC25" i="19"/>
  <c r="AC56" i="21"/>
  <c r="AD56" s="1"/>
  <c r="AC56" i="20"/>
  <c r="AD56" s="1"/>
  <c r="AC61" i="21"/>
  <c r="AD61" s="1"/>
  <c r="AC61" i="20"/>
  <c r="AD61" s="1"/>
  <c r="AC29" i="21"/>
  <c r="AC29" i="20"/>
  <c r="AC42" i="22"/>
  <c r="AD42" s="1"/>
  <c r="AC42" i="19"/>
  <c r="AC26" i="22"/>
  <c r="AC26" i="19"/>
  <c r="AC64" i="21"/>
  <c r="AD64" s="1"/>
  <c r="AC64" i="20"/>
  <c r="AD64" s="1"/>
  <c r="AC20" i="21"/>
  <c r="AC20" i="20"/>
  <c r="AC18" i="22"/>
  <c r="AC18" i="19"/>
  <c r="AC25" i="21"/>
  <c r="AC25" i="20"/>
  <c r="AC54" i="21"/>
  <c r="AD54" s="1"/>
  <c r="AC54" i="20"/>
  <c r="AD54" s="1"/>
  <c r="AC38" i="21"/>
  <c r="AC38" i="20"/>
  <c r="AD38" s="1"/>
  <c r="AC22" i="21"/>
  <c r="AC22" i="20"/>
  <c r="AC59" i="22"/>
  <c r="AD59" s="1"/>
  <c r="AC59" i="19"/>
  <c r="AD59" s="1"/>
  <c r="AC27" i="22"/>
  <c r="AC27" i="19"/>
  <c r="AC28" i="21"/>
  <c r="AC28" i="20"/>
  <c r="AC31" i="22"/>
  <c r="AC31" i="19"/>
  <c r="AC52" i="22"/>
  <c r="AD52" s="1"/>
  <c r="AC52" i="19"/>
  <c r="AD52" s="1"/>
  <c r="AC36" i="22"/>
  <c r="AC36" i="19"/>
  <c r="AC20" i="22"/>
  <c r="AC20" i="19"/>
  <c r="AC17" i="22"/>
  <c r="AC17" i="19"/>
  <c r="AA55" i="18"/>
  <c r="AK8" i="7"/>
  <c r="AK13" s="1"/>
  <c r="AK18" s="1"/>
  <c r="V18"/>
  <c r="AK9"/>
  <c r="AK14" s="1"/>
  <c r="AK19" s="1"/>
  <c r="AK10"/>
  <c r="AK15" s="1"/>
  <c r="AK11"/>
  <c r="AK16" s="1"/>
  <c r="AD44" i="19" l="1"/>
  <c r="D47" s="1"/>
  <c r="D45"/>
  <c r="D45" i="20"/>
  <c r="AD35"/>
  <c r="D47" s="1"/>
  <c r="AD41" i="22"/>
  <c r="D47" s="1"/>
  <c r="D45"/>
  <c r="AD51" i="21"/>
  <c r="D47" s="1"/>
  <c r="D45"/>
  <c r="AD55" i="18"/>
  <c r="AA56"/>
  <c r="V19" i="7"/>
  <c r="Z18"/>
  <c r="AA18" s="1"/>
  <c r="AD18" s="1"/>
  <c r="AK23"/>
  <c r="AK28" s="1"/>
  <c r="AK33" s="1"/>
  <c r="AK38" s="1"/>
  <c r="AK43" s="1"/>
  <c r="AK48" s="1"/>
  <c r="AK24"/>
  <c r="AK29" s="1"/>
  <c r="AK34" s="1"/>
  <c r="AK39" s="1"/>
  <c r="AK44" s="1"/>
  <c r="AK49" s="1"/>
  <c r="AK20"/>
  <c r="AK25" s="1"/>
  <c r="AK30" s="1"/>
  <c r="AK35" s="1"/>
  <c r="AK40" s="1"/>
  <c r="AK45" s="1"/>
  <c r="AK50" s="1"/>
  <c r="AK21"/>
  <c r="AK26" s="1"/>
  <c r="AK31" s="1"/>
  <c r="AK36" s="1"/>
  <c r="AK41" s="1"/>
  <c r="AK46" s="1"/>
  <c r="AK51" s="1"/>
  <c r="AK7"/>
  <c r="AD56" i="18" l="1"/>
  <c r="AA57"/>
  <c r="V20" i="7"/>
  <c r="Z19"/>
  <c r="AA19" s="1"/>
  <c r="AD19" s="1"/>
  <c r="T11"/>
  <c r="AK12"/>
  <c r="AK17" s="1"/>
  <c r="AK22" s="1"/>
  <c r="AK27" s="1"/>
  <c r="AK32" s="1"/>
  <c r="AK37" s="1"/>
  <c r="AK42" s="1"/>
  <c r="AK47" s="1"/>
  <c r="AL5"/>
  <c r="AD57" i="18" l="1"/>
  <c r="AA58"/>
  <c r="V21" i="7"/>
  <c r="Z20"/>
  <c r="AA20" s="1"/>
  <c r="AD20" s="1"/>
  <c r="T15"/>
  <c r="T2"/>
  <c r="T13"/>
  <c r="AN41"/>
  <c r="AN46"/>
  <c r="AN32"/>
  <c r="AN11"/>
  <c r="AL2"/>
  <c r="AN49"/>
  <c r="AN25"/>
  <c r="AN29"/>
  <c r="AN38"/>
  <c r="AN34"/>
  <c r="AN51"/>
  <c r="AN14"/>
  <c r="AN6"/>
  <c r="AN16"/>
  <c r="AN44"/>
  <c r="AN47"/>
  <c r="AN36"/>
  <c r="AN22"/>
  <c r="AN48"/>
  <c r="AN50"/>
  <c r="AN40"/>
  <c r="AN10"/>
  <c r="AN42"/>
  <c r="AN39"/>
  <c r="AN17"/>
  <c r="AN23"/>
  <c r="AN20"/>
  <c r="AN28"/>
  <c r="AN37"/>
  <c r="AN43"/>
  <c r="AL4"/>
  <c r="AN24"/>
  <c r="AN15"/>
  <c r="AN21"/>
  <c r="AN31"/>
  <c r="AN4"/>
  <c r="AM2"/>
  <c r="AN26"/>
  <c r="AN13"/>
  <c r="AN19"/>
  <c r="AN12"/>
  <c r="AN7"/>
  <c r="AN18"/>
  <c r="AN35"/>
  <c r="AN30"/>
  <c r="AN8"/>
  <c r="AL3"/>
  <c r="AN5"/>
  <c r="AN27"/>
  <c r="AN3"/>
  <c r="AN33"/>
  <c r="AN45"/>
  <c r="AN9"/>
  <c r="AD58" i="18" l="1"/>
  <c r="AA59"/>
  <c r="W18" i="7"/>
  <c r="V22"/>
  <c r="Z21"/>
  <c r="AA21" s="1"/>
  <c r="AD21" s="1"/>
  <c r="W19"/>
  <c r="W20"/>
  <c r="U11"/>
  <c r="V11"/>
  <c r="U13"/>
  <c r="AM19"/>
  <c r="AL25"/>
  <c r="AL39"/>
  <c r="AM22"/>
  <c r="AM40"/>
  <c r="AL21"/>
  <c r="AM48"/>
  <c r="AM28"/>
  <c r="AL34"/>
  <c r="AM7"/>
  <c r="AM30"/>
  <c r="AL12"/>
  <c r="AM50"/>
  <c r="AL23"/>
  <c r="AM10"/>
  <c r="AL6"/>
  <c r="AM46"/>
  <c r="AL9"/>
  <c r="AM41"/>
  <c r="AM47"/>
  <c r="AM18"/>
  <c r="AM44"/>
  <c r="AL10"/>
  <c r="AM35"/>
  <c r="AM45"/>
  <c r="AM24"/>
  <c r="AM21"/>
  <c r="AL28"/>
  <c r="AL26"/>
  <c r="AL18"/>
  <c r="AL41"/>
  <c r="AM6"/>
  <c r="AM14"/>
  <c r="AM15"/>
  <c r="AL43"/>
  <c r="AL13"/>
  <c r="AL14"/>
  <c r="AL7"/>
  <c r="AL31"/>
  <c r="AL17"/>
  <c r="AM17"/>
  <c r="AM4"/>
  <c r="AL42"/>
  <c r="AM3"/>
  <c r="AM23"/>
  <c r="AM37"/>
  <c r="AM34"/>
  <c r="AM9"/>
  <c r="AL35"/>
  <c r="AM5"/>
  <c r="AL36"/>
  <c r="AL46"/>
  <c r="AL16"/>
  <c r="AM11"/>
  <c r="AM25"/>
  <c r="AM12"/>
  <c r="AL27"/>
  <c r="AL37"/>
  <c r="AL22"/>
  <c r="AL15"/>
  <c r="AM31"/>
  <c r="AL45"/>
  <c r="AM39"/>
  <c r="AM38"/>
  <c r="AM32"/>
  <c r="AM29"/>
  <c r="AL20"/>
  <c r="AL29"/>
  <c r="AM27"/>
  <c r="AM13"/>
  <c r="AL40"/>
  <c r="AL19"/>
  <c r="AM26"/>
  <c r="AL50"/>
  <c r="AM8"/>
  <c r="AM43"/>
  <c r="AM16"/>
  <c r="AL51"/>
  <c r="AL30"/>
  <c r="AL49"/>
  <c r="AL32"/>
  <c r="AL47"/>
  <c r="AL11"/>
  <c r="AL33"/>
  <c r="AM42"/>
  <c r="AM33"/>
  <c r="AL48"/>
  <c r="AM51"/>
  <c r="AM49"/>
  <c r="AL44"/>
  <c r="AM20"/>
  <c r="AL24"/>
  <c r="AL38"/>
  <c r="AL8"/>
  <c r="AM36"/>
  <c r="AC33" l="1"/>
  <c r="AD59" i="18"/>
  <c r="AA60"/>
  <c r="X20" i="7"/>
  <c r="Y20"/>
  <c r="X19"/>
  <c r="Y19"/>
  <c r="X18"/>
  <c r="Y18"/>
  <c r="W22"/>
  <c r="Y22" s="1"/>
  <c r="W21"/>
  <c r="Y21" s="1"/>
  <c r="V23"/>
  <c r="Z22"/>
  <c r="AA22" s="1"/>
  <c r="AD22" s="1"/>
  <c r="AC60"/>
  <c r="AC52"/>
  <c r="AC54"/>
  <c r="AC59"/>
  <c r="AC65"/>
  <c r="AC57"/>
  <c r="AC66"/>
  <c r="AC18"/>
  <c r="AC55"/>
  <c r="AC64"/>
  <c r="AC56"/>
  <c r="AC62"/>
  <c r="AC67"/>
  <c r="AC51"/>
  <c r="AC61"/>
  <c r="AC53"/>
  <c r="AC58"/>
  <c r="AC63"/>
  <c r="AC50"/>
  <c r="W66"/>
  <c r="Y66" s="1"/>
  <c r="W58"/>
  <c r="Y58" s="1"/>
  <c r="W42"/>
  <c r="Y42" s="1"/>
  <c r="W26"/>
  <c r="Y26" s="1"/>
  <c r="W44"/>
  <c r="Y44" s="1"/>
  <c r="W53"/>
  <c r="W55"/>
  <c r="W39"/>
  <c r="Y39" s="1"/>
  <c r="W23"/>
  <c r="Y23" s="1"/>
  <c r="W40"/>
  <c r="Y40" s="1"/>
  <c r="W24"/>
  <c r="W57"/>
  <c r="Y57" s="1"/>
  <c r="W25"/>
  <c r="W50"/>
  <c r="Y50" s="1"/>
  <c r="W34"/>
  <c r="Y34" s="1"/>
  <c r="W64"/>
  <c r="Y64" s="1"/>
  <c r="W28"/>
  <c r="Y28" s="1"/>
  <c r="W37"/>
  <c r="W63"/>
  <c r="Y63" s="1"/>
  <c r="W47"/>
  <c r="W31"/>
  <c r="W56"/>
  <c r="Y56" s="1"/>
  <c r="W41"/>
  <c r="Y41" s="1"/>
  <c r="W62"/>
  <c r="W54"/>
  <c r="Y54" s="1"/>
  <c r="W46"/>
  <c r="Y46" s="1"/>
  <c r="W38"/>
  <c r="Y38" s="1"/>
  <c r="W30"/>
  <c r="W52"/>
  <c r="W36"/>
  <c r="Y36" s="1"/>
  <c r="W65"/>
  <c r="W45"/>
  <c r="Y45" s="1"/>
  <c r="W29"/>
  <c r="Y29" s="1"/>
  <c r="W67"/>
  <c r="W59"/>
  <c r="W51"/>
  <c r="Y51" s="1"/>
  <c r="W43"/>
  <c r="W35"/>
  <c r="Y35" s="1"/>
  <c r="W27"/>
  <c r="W60"/>
  <c r="Y60" s="1"/>
  <c r="W48"/>
  <c r="W32"/>
  <c r="Y32" s="1"/>
  <c r="W61"/>
  <c r="W49"/>
  <c r="W33"/>
  <c r="Y33" s="1"/>
  <c r="AC24"/>
  <c r="AC41"/>
  <c r="AC25"/>
  <c r="AC46"/>
  <c r="AC30"/>
  <c r="AC28"/>
  <c r="AC47"/>
  <c r="AC45"/>
  <c r="AC29"/>
  <c r="AC34"/>
  <c r="AC48"/>
  <c r="AC32"/>
  <c r="AC49"/>
  <c r="AC19"/>
  <c r="AC38"/>
  <c r="AC22"/>
  <c r="AC27"/>
  <c r="AC40"/>
  <c r="AC35"/>
  <c r="AC39"/>
  <c r="AC44"/>
  <c r="AC36"/>
  <c r="AC20"/>
  <c r="AC23"/>
  <c r="AC37"/>
  <c r="AC21"/>
  <c r="AC31"/>
  <c r="AC42"/>
  <c r="AC26"/>
  <c r="AC43"/>
  <c r="AD60" i="18" l="1"/>
  <c r="AA61"/>
  <c r="X43" i="7"/>
  <c r="Y43"/>
  <c r="X52"/>
  <c r="Y52"/>
  <c r="X31"/>
  <c r="Y31"/>
  <c r="X25"/>
  <c r="Y25"/>
  <c r="X67"/>
  <c r="Y67"/>
  <c r="X37"/>
  <c r="Y37"/>
  <c r="X53"/>
  <c r="Y53"/>
  <c r="X61"/>
  <c r="Y61"/>
  <c r="X59"/>
  <c r="Y59"/>
  <c r="X49"/>
  <c r="Y49"/>
  <c r="X30"/>
  <c r="Y30"/>
  <c r="X62"/>
  <c r="Y62"/>
  <c r="X47"/>
  <c r="Y47"/>
  <c r="X48"/>
  <c r="Y48"/>
  <c r="X27"/>
  <c r="Y27"/>
  <c r="X65"/>
  <c r="Y65"/>
  <c r="X24"/>
  <c r="Y24"/>
  <c r="X55"/>
  <c r="Y55"/>
  <c r="X60"/>
  <c r="X51"/>
  <c r="X45"/>
  <c r="X64"/>
  <c r="X57"/>
  <c r="X39"/>
  <c r="X26"/>
  <c r="X33"/>
  <c r="X29"/>
  <c r="X54"/>
  <c r="X28"/>
  <c r="X23"/>
  <c r="X44"/>
  <c r="X66"/>
  <c r="X32"/>
  <c r="X35"/>
  <c r="X36"/>
  <c r="X46"/>
  <c r="X56"/>
  <c r="X50"/>
  <c r="X40"/>
  <c r="X58"/>
  <c r="X22"/>
  <c r="X38"/>
  <c r="X41"/>
  <c r="X63"/>
  <c r="X34"/>
  <c r="X42"/>
  <c r="X21"/>
  <c r="V24"/>
  <c r="Z23"/>
  <c r="AA23" s="1"/>
  <c r="AD23" s="1"/>
  <c r="AD61" i="18" l="1"/>
  <c r="AA62"/>
  <c r="V25" i="7"/>
  <c r="Z24"/>
  <c r="AA24" s="1"/>
  <c r="AD24" s="1"/>
  <c r="AD62" i="18" l="1"/>
  <c r="AA63"/>
  <c r="V26" i="7"/>
  <c r="Z25"/>
  <c r="AA25" s="1"/>
  <c r="AD25" s="1"/>
  <c r="AD63" i="18" l="1"/>
  <c r="AA64"/>
  <c r="V27" i="7"/>
  <c r="Z26"/>
  <c r="AA26" s="1"/>
  <c r="AD26" s="1"/>
  <c r="AD64" i="18" l="1"/>
  <c r="AA65"/>
  <c r="V28" i="7"/>
  <c r="Z27"/>
  <c r="AA27" s="1"/>
  <c r="AD27" s="1"/>
  <c r="AD65" i="18" l="1"/>
  <c r="AA66"/>
  <c r="AD66" s="1"/>
  <c r="V29" i="7"/>
  <c r="Z28"/>
  <c r="AA28" s="1"/>
  <c r="AD28" s="1"/>
  <c r="D47" i="18" l="1"/>
  <c r="D45"/>
  <c r="V30" i="7"/>
  <c r="Z29"/>
  <c r="AA29" s="1"/>
  <c r="AD29" s="1"/>
  <c r="V31" l="1"/>
  <c r="Z30"/>
  <c r="AA30" s="1"/>
  <c r="AD30" s="1"/>
  <c r="V32" l="1"/>
  <c r="Z31"/>
  <c r="AA31" s="1"/>
  <c r="AD31" s="1"/>
  <c r="V33" l="1"/>
  <c r="Z32"/>
  <c r="AA32" s="1"/>
  <c r="AD32" s="1"/>
  <c r="V34" l="1"/>
  <c r="Z33"/>
  <c r="AA33" s="1"/>
  <c r="AD33" s="1"/>
  <c r="V35" l="1"/>
  <c r="Z34"/>
  <c r="AA34" s="1"/>
  <c r="AD34" s="1"/>
  <c r="V36" l="1"/>
  <c r="Z35"/>
  <c r="AA35" s="1"/>
  <c r="AD35" s="1"/>
  <c r="V37" l="1"/>
  <c r="Z36"/>
  <c r="AA36" s="1"/>
  <c r="AD36" s="1"/>
  <c r="V38" l="1"/>
  <c r="Z37"/>
  <c r="AA37" s="1"/>
  <c r="AD37" s="1"/>
  <c r="V39" l="1"/>
  <c r="Z38"/>
  <c r="AA38" s="1"/>
  <c r="AD38" s="1"/>
  <c r="V40" l="1"/>
  <c r="Z39"/>
  <c r="AA39" s="1"/>
  <c r="AD39" s="1"/>
  <c r="V41" l="1"/>
  <c r="Z40"/>
  <c r="AA40" s="1"/>
  <c r="AD40" s="1"/>
  <c r="V42" l="1"/>
  <c r="Z41"/>
  <c r="AA41" s="1"/>
  <c r="AD41" s="1"/>
  <c r="V43" l="1"/>
  <c r="Z42"/>
  <c r="AA42" s="1"/>
  <c r="AD42" s="1"/>
  <c r="V44" l="1"/>
  <c r="Z43"/>
  <c r="AA43" s="1"/>
  <c r="AD43" s="1"/>
  <c r="V45" l="1"/>
  <c r="Z44"/>
  <c r="AA44" s="1"/>
  <c r="AD44" s="1"/>
  <c r="V46" l="1"/>
  <c r="Z45"/>
  <c r="AA45" s="1"/>
  <c r="AD45" s="1"/>
  <c r="V47" l="1"/>
  <c r="Z46"/>
  <c r="AA46" s="1"/>
  <c r="AD46" s="1"/>
  <c r="V48" l="1"/>
  <c r="Z47"/>
  <c r="AA47" s="1"/>
  <c r="AD47" s="1"/>
  <c r="V49" l="1"/>
  <c r="Z48"/>
  <c r="AA48" s="1"/>
  <c r="AD48" s="1"/>
  <c r="V50" l="1"/>
  <c r="Z49"/>
  <c r="AA49" s="1"/>
  <c r="AD49" s="1"/>
  <c r="V51" l="1"/>
  <c r="Z50"/>
  <c r="AA50" s="1"/>
  <c r="AD50" s="1"/>
  <c r="V52" l="1"/>
  <c r="Z51"/>
  <c r="AA51" s="1"/>
  <c r="AD51" s="1"/>
  <c r="V53" l="1"/>
  <c r="Z52"/>
  <c r="AA52" s="1"/>
  <c r="AD52" s="1"/>
  <c r="V54" l="1"/>
  <c r="Z53"/>
  <c r="AA53" s="1"/>
  <c r="AD53" s="1"/>
  <c r="V55" l="1"/>
  <c r="Z54"/>
  <c r="AA54" s="1"/>
  <c r="AD54" s="1"/>
  <c r="V56" l="1"/>
  <c r="Z55"/>
  <c r="AA55" s="1"/>
  <c r="AD55" s="1"/>
  <c r="V57" l="1"/>
  <c r="Z56"/>
  <c r="AA56" s="1"/>
  <c r="AD56" s="1"/>
  <c r="V58" l="1"/>
  <c r="Z57"/>
  <c r="AA57" s="1"/>
  <c r="AD57" s="1"/>
  <c r="V59" l="1"/>
  <c r="Z58"/>
  <c r="AA58" s="1"/>
  <c r="AD58" s="1"/>
  <c r="V60" l="1"/>
  <c r="Z59"/>
  <c r="AA59" s="1"/>
  <c r="AD59" s="1"/>
  <c r="V61" l="1"/>
  <c r="Z60"/>
  <c r="AA60" s="1"/>
  <c r="AD60" s="1"/>
  <c r="V62" l="1"/>
  <c r="Z61"/>
  <c r="AA61" s="1"/>
  <c r="AD61" s="1"/>
  <c r="V63" l="1"/>
  <c r="Z62"/>
  <c r="AA62" s="1"/>
  <c r="AD62" s="1"/>
  <c r="V64" l="1"/>
  <c r="Z63"/>
  <c r="AA63" s="1"/>
  <c r="AD63" s="1"/>
  <c r="V65" l="1"/>
  <c r="Z64"/>
  <c r="AA64" s="1"/>
  <c r="AD64" s="1"/>
  <c r="V66" l="1"/>
  <c r="Z65"/>
  <c r="AA65" s="1"/>
  <c r="AD65" s="1"/>
  <c r="V67" l="1"/>
  <c r="D42" s="1"/>
  <c r="Z66"/>
  <c r="AA66" s="1"/>
  <c r="AD66" s="1"/>
  <c r="Z67" l="1"/>
  <c r="AA67" s="1"/>
  <c r="AD67" s="1"/>
  <c r="D46" s="1"/>
  <c r="D48" l="1"/>
</calcChain>
</file>

<file path=xl/comments1.xml><?xml version="1.0" encoding="utf-8"?>
<comments xmlns="http://schemas.openxmlformats.org/spreadsheetml/2006/main">
  <authors>
    <author>MAskin</author>
    <author>Scott Latham</author>
  </authors>
  <commentList>
    <comment ref="T1" authorId="0">
      <text>
        <r>
          <rPr>
            <b/>
            <sz val="9"/>
            <color indexed="81"/>
            <rFont val="Tahoma"/>
            <charset val="1"/>
          </rPr>
          <t>ACUMEN:</t>
        </r>
        <r>
          <rPr>
            <sz val="9"/>
            <color indexed="81"/>
            <rFont val="Tahoma"/>
            <charset val="1"/>
          </rPr>
          <t xml:space="preserve">
</t>
        </r>
        <r>
          <rPr>
            <sz val="11"/>
            <color indexed="81"/>
            <rFont val="Tahoma"/>
            <family val="2"/>
          </rPr>
          <t>Please do not alter the values or forumulae in the grey area, as this will cause the tool to break.</t>
        </r>
      </text>
    </comment>
    <comment ref="Z17" authorId="1">
      <text>
        <r>
          <rPr>
            <b/>
            <sz val="9"/>
            <color indexed="81"/>
            <rFont val="Tahoma"/>
            <family val="2"/>
          </rPr>
          <t>Scott Latham:</t>
        </r>
        <r>
          <rPr>
            <sz val="9"/>
            <color indexed="81"/>
            <rFont val="Tahoma"/>
            <family val="2"/>
          </rPr>
          <t xml:space="preserve">
Used for Graph secondary axis current year line</t>
        </r>
      </text>
    </comment>
    <comment ref="AA17" authorId="1">
      <text>
        <r>
          <rPr>
            <b/>
            <sz val="9"/>
            <color indexed="81"/>
            <rFont val="Tahoma"/>
            <family val="2"/>
          </rPr>
          <t>Scott Latham:</t>
        </r>
        <r>
          <rPr>
            <sz val="9"/>
            <color indexed="81"/>
            <rFont val="Tahoma"/>
            <family val="2"/>
          </rPr>
          <t xml:space="preserve">
Checks whether current year and then says TRUE for each year following current year. This can then be used to ensure SUM is done from whatever current yera is </t>
        </r>
      </text>
    </comment>
    <comment ref="AD17" authorId="1">
      <text>
        <r>
          <rPr>
            <b/>
            <sz val="9"/>
            <color indexed="81"/>
            <rFont val="Tahoma"/>
            <family val="2"/>
          </rPr>
          <t>Scott Latham:</t>
        </r>
        <r>
          <rPr>
            <sz val="9"/>
            <color indexed="81"/>
            <rFont val="Tahoma"/>
            <family val="2"/>
          </rPr>
          <t xml:space="preserve">
Only adds in total GHG value if current year onwards - SUM therefore doesn't need to be moved each year will automatically move as spreadsheet automatically works out current year</t>
        </r>
      </text>
    </comment>
    <comment ref="D42" authorId="0">
      <text>
        <r>
          <rPr>
            <b/>
            <sz val="9"/>
            <color indexed="81"/>
            <rFont val="Tahoma"/>
            <family val="2"/>
          </rPr>
          <t xml:space="preserve">ACUMEN:
</t>
        </r>
        <r>
          <rPr>
            <sz val="11"/>
            <color indexed="81"/>
            <rFont val="Tahoma"/>
            <family val="2"/>
          </rPr>
          <t>The GET results refer to landfill gas containing 50% methane. In practice, the landfill gas generated at older sites contains less methane, typically 15 - 30%.</t>
        </r>
        <r>
          <rPr>
            <sz val="9"/>
            <color indexed="81"/>
            <rFont val="Tahoma"/>
            <family val="2"/>
          </rPr>
          <t xml:space="preserve">
</t>
        </r>
      </text>
    </comment>
    <comment ref="D46" authorId="0">
      <text>
        <r>
          <rPr>
            <b/>
            <sz val="9"/>
            <color indexed="81"/>
            <rFont val="Tahoma"/>
            <family val="2"/>
          </rPr>
          <t xml:space="preserve">ACUMEN:
</t>
        </r>
        <r>
          <rPr>
            <sz val="11"/>
            <color indexed="81"/>
            <rFont val="Tahoma"/>
            <family val="2"/>
          </rPr>
          <t>This result is the mass equivalent of Result 2. In practice, not all of this methane will be emitted to atmosphere due to surface oxidation and other factors.</t>
        </r>
        <r>
          <rPr>
            <sz val="9"/>
            <color indexed="81"/>
            <rFont val="Tahoma"/>
            <family val="2"/>
          </rPr>
          <t xml:space="preserve">
</t>
        </r>
      </text>
    </comment>
    <comment ref="D48" authorId="0">
      <text>
        <r>
          <rPr>
            <b/>
            <sz val="9"/>
            <color indexed="81"/>
            <rFont val="Tahoma"/>
            <family val="2"/>
          </rPr>
          <t xml:space="preserve">ACUMEN:
</t>
        </r>
        <r>
          <rPr>
            <sz val="11"/>
            <color indexed="81"/>
            <rFont val="Tahoma"/>
            <family val="2"/>
          </rPr>
          <t>This result sums the remaining hypothetical GHG potential of the site being modelled. It only includes the values between the current year (Cell D2) and 50 years post site closure.</t>
        </r>
        <r>
          <rPr>
            <sz val="9"/>
            <color indexed="81"/>
            <rFont val="Tahoma"/>
            <family val="2"/>
          </rPr>
          <t xml:space="preserve">
</t>
        </r>
      </text>
    </comment>
  </commentList>
</comments>
</file>

<file path=xl/comments2.xml><?xml version="1.0" encoding="utf-8"?>
<comments xmlns="http://schemas.openxmlformats.org/spreadsheetml/2006/main">
  <authors>
    <author>MAskin</author>
  </authors>
  <commentList>
    <comment ref="A2" authorId="0">
      <text>
        <r>
          <rPr>
            <b/>
            <sz val="9"/>
            <color indexed="81"/>
            <rFont val="Tahoma"/>
            <family val="2"/>
          </rPr>
          <t>ACUMEN:</t>
        </r>
        <r>
          <rPr>
            <sz val="9"/>
            <color indexed="81"/>
            <rFont val="Tahoma"/>
            <family val="2"/>
          </rPr>
          <t xml:space="preserve">
These gas generation values are based on modelling of 60.15% gassing wastes (50% UD1 &amp; 50% UD2) &amp; 39.85% non-gassing wastes (UD3), derived from 800 English and Welsh landfill data returns for the period 1996 - 1999.</t>
        </r>
      </text>
    </comment>
    <comment ref="F3" authorId="0">
      <text>
        <r>
          <rPr>
            <b/>
            <sz val="9"/>
            <color indexed="81"/>
            <rFont val="Tahoma"/>
            <charset val="1"/>
          </rPr>
          <t>ACUMEN:</t>
        </r>
        <r>
          <rPr>
            <sz val="9"/>
            <color indexed="81"/>
            <rFont val="Tahoma"/>
            <charset val="1"/>
          </rPr>
          <t xml:space="preserve">
This row details the annual average hourly landfill gas generation rate of 25kT of waste deposited over 1 year.</t>
        </r>
      </text>
    </comment>
    <comment ref="F4" authorId="0">
      <text>
        <r>
          <rPr>
            <b/>
            <sz val="9"/>
            <color indexed="81"/>
            <rFont val="Tahoma"/>
            <charset val="1"/>
          </rPr>
          <t>ACUMEN:</t>
        </r>
        <r>
          <rPr>
            <sz val="9"/>
            <color indexed="81"/>
            <rFont val="Tahoma"/>
            <charset val="1"/>
          </rPr>
          <t xml:space="preserve">
This row details the gas generation rate per thousand tonnes of waste deposited under a 1 year emplacement scenario.</t>
        </r>
      </text>
    </comment>
    <comment ref="F6" authorId="0">
      <text>
        <r>
          <rPr>
            <b/>
            <sz val="9"/>
            <color indexed="81"/>
            <rFont val="Tahoma"/>
            <charset val="1"/>
          </rPr>
          <t>ACUMEN:</t>
        </r>
        <r>
          <rPr>
            <sz val="9"/>
            <color indexed="81"/>
            <rFont val="Tahoma"/>
            <charset val="1"/>
          </rPr>
          <t xml:space="preserve">
This row details the potential mass emission multiple (in tCO2e yr-1 kt-1) of methane-derived GHG contribution of the 1 year scenario unit gas production rate.</t>
        </r>
      </text>
    </comment>
    <comment ref="F7" authorId="0">
      <text>
        <r>
          <rPr>
            <b/>
            <sz val="9"/>
            <color indexed="81"/>
            <rFont val="Tahoma"/>
            <charset val="1"/>
          </rPr>
          <t>ACUMEN:</t>
        </r>
        <r>
          <rPr>
            <sz val="9"/>
            <color indexed="81"/>
            <rFont val="Tahoma"/>
            <charset val="1"/>
          </rPr>
          <t xml:space="preserve">
This row details the annual average hourly landfill gas generation rate of 25kT of waste deposited over 5 years.</t>
        </r>
      </text>
    </comment>
    <comment ref="F8" authorId="0">
      <text>
        <r>
          <rPr>
            <b/>
            <sz val="9"/>
            <color indexed="81"/>
            <rFont val="Tahoma"/>
            <charset val="1"/>
          </rPr>
          <t>ACUMEN:</t>
        </r>
        <r>
          <rPr>
            <sz val="9"/>
            <color indexed="81"/>
            <rFont val="Tahoma"/>
            <charset val="1"/>
          </rPr>
          <t xml:space="preserve">
This row details the gas generation rate per thousand tonnes of waste deposited under a 5 year emplacement scenario.</t>
        </r>
      </text>
    </comment>
    <comment ref="F10" authorId="0">
      <text>
        <r>
          <rPr>
            <b/>
            <sz val="9"/>
            <color indexed="81"/>
            <rFont val="Tahoma"/>
            <charset val="1"/>
          </rPr>
          <t>ACUMEN:</t>
        </r>
        <r>
          <rPr>
            <sz val="9"/>
            <color indexed="81"/>
            <rFont val="Tahoma"/>
            <charset val="1"/>
          </rPr>
          <t xml:space="preserve">
This row details the potential mass emission multiple (in tCO2e yr-1 kt-1) of methane-derived GHG contribution of the 5 year scenario unit gas production rate.</t>
        </r>
      </text>
    </comment>
    <comment ref="F11" authorId="0">
      <text>
        <r>
          <rPr>
            <b/>
            <sz val="9"/>
            <color indexed="81"/>
            <rFont val="Tahoma"/>
            <charset val="1"/>
          </rPr>
          <t>ACUMEN:</t>
        </r>
        <r>
          <rPr>
            <sz val="9"/>
            <color indexed="81"/>
            <rFont val="Tahoma"/>
            <charset val="1"/>
          </rPr>
          <t xml:space="preserve">
This row details the annual average hourly landfill gas generation rate of 25kT of waste deposited over 10 years.</t>
        </r>
      </text>
    </comment>
    <comment ref="F12" authorId="0">
      <text>
        <r>
          <rPr>
            <b/>
            <sz val="9"/>
            <color indexed="81"/>
            <rFont val="Tahoma"/>
            <charset val="1"/>
          </rPr>
          <t>ACUMEN:</t>
        </r>
        <r>
          <rPr>
            <sz val="9"/>
            <color indexed="81"/>
            <rFont val="Tahoma"/>
            <charset val="1"/>
          </rPr>
          <t xml:space="preserve">
This row details the gas generation rate per thousand tonnes of waste deposited under a 10 year emplacement scenario.</t>
        </r>
      </text>
    </comment>
    <comment ref="F14" authorId="0">
      <text>
        <r>
          <rPr>
            <b/>
            <sz val="9"/>
            <color indexed="81"/>
            <rFont val="Tahoma"/>
            <charset val="1"/>
          </rPr>
          <t>ACUMEN:</t>
        </r>
        <r>
          <rPr>
            <sz val="9"/>
            <color indexed="81"/>
            <rFont val="Tahoma"/>
            <charset val="1"/>
          </rPr>
          <t xml:space="preserve">
This row details the potential mass emission multiple (in tCO2e yr-1 kt-1) of methane-derived GHG contribution of the 10 year scenario unit gas production rate.</t>
        </r>
      </text>
    </comment>
    <comment ref="F15" authorId="0">
      <text>
        <r>
          <rPr>
            <b/>
            <sz val="9"/>
            <color indexed="81"/>
            <rFont val="Tahoma"/>
            <charset val="1"/>
          </rPr>
          <t>ACUMEN:</t>
        </r>
        <r>
          <rPr>
            <sz val="9"/>
            <color indexed="81"/>
            <rFont val="Tahoma"/>
            <charset val="1"/>
          </rPr>
          <t xml:space="preserve">
This row details the annual average hourly landfill gas generation rate of 25kT of waste deposited over 15 years.</t>
        </r>
      </text>
    </comment>
    <comment ref="F16" authorId="0">
      <text>
        <r>
          <rPr>
            <b/>
            <sz val="9"/>
            <color indexed="81"/>
            <rFont val="Tahoma"/>
            <charset val="1"/>
          </rPr>
          <t>ACUMEN:</t>
        </r>
        <r>
          <rPr>
            <sz val="9"/>
            <color indexed="81"/>
            <rFont val="Tahoma"/>
            <charset val="1"/>
          </rPr>
          <t xml:space="preserve">
This row details the gas generation rate per thousand tonnes of waste deposited under a 15 year emplacement scenario.</t>
        </r>
      </text>
    </comment>
    <comment ref="F18" authorId="0">
      <text>
        <r>
          <rPr>
            <b/>
            <sz val="9"/>
            <color indexed="81"/>
            <rFont val="Tahoma"/>
            <charset val="1"/>
          </rPr>
          <t>ACUMEN:</t>
        </r>
        <r>
          <rPr>
            <sz val="9"/>
            <color indexed="81"/>
            <rFont val="Tahoma"/>
            <charset val="1"/>
          </rPr>
          <t xml:space="preserve">
This row details the potential mass emission multiple (in tCO2e yr-1 kt-1) of methane-derived GHG contribution of the 15 year scenario unit gas production rate.</t>
        </r>
      </text>
    </comment>
    <comment ref="F19" authorId="0">
      <text>
        <r>
          <rPr>
            <b/>
            <sz val="9"/>
            <color indexed="81"/>
            <rFont val="Tahoma"/>
            <charset val="1"/>
          </rPr>
          <t>ACUMEN:</t>
        </r>
        <r>
          <rPr>
            <sz val="9"/>
            <color indexed="81"/>
            <rFont val="Tahoma"/>
            <charset val="1"/>
          </rPr>
          <t xml:space="preserve">
This row details the annual average hourly landfill gas generation rate of 25kT of waste deposited over 20 years.</t>
        </r>
      </text>
    </comment>
    <comment ref="F20" authorId="0">
      <text>
        <r>
          <rPr>
            <b/>
            <sz val="9"/>
            <color indexed="81"/>
            <rFont val="Tahoma"/>
            <charset val="1"/>
          </rPr>
          <t>ACUMEN:</t>
        </r>
        <r>
          <rPr>
            <sz val="9"/>
            <color indexed="81"/>
            <rFont val="Tahoma"/>
            <charset val="1"/>
          </rPr>
          <t xml:space="preserve">
This row details the gas generation rate per thousand tonnes of waste deposited under a 20 year emplacement scenario.</t>
        </r>
      </text>
    </comment>
    <comment ref="F22" authorId="0">
      <text>
        <r>
          <rPr>
            <b/>
            <sz val="9"/>
            <color indexed="81"/>
            <rFont val="Tahoma"/>
            <charset val="1"/>
          </rPr>
          <t>ACUMEN:</t>
        </r>
        <r>
          <rPr>
            <sz val="9"/>
            <color indexed="81"/>
            <rFont val="Tahoma"/>
            <charset val="1"/>
          </rPr>
          <t xml:space="preserve">
This row details the potential mass emission multiple (in tCO2e yr-1 kt-1) of methane-derived GHG contribution of the 20 year scenario unit gas production rate.</t>
        </r>
      </text>
    </comment>
    <comment ref="F23" authorId="0">
      <text>
        <r>
          <rPr>
            <b/>
            <sz val="9"/>
            <color indexed="81"/>
            <rFont val="Tahoma"/>
            <charset val="1"/>
          </rPr>
          <t>ACUMEN:</t>
        </r>
        <r>
          <rPr>
            <sz val="9"/>
            <color indexed="81"/>
            <rFont val="Tahoma"/>
            <charset val="1"/>
          </rPr>
          <t xml:space="preserve">
This row details the annual average hourly landfill gas generation rate of 25kT of waste deposited over 25 years.</t>
        </r>
      </text>
    </comment>
    <comment ref="F24" authorId="0">
      <text>
        <r>
          <rPr>
            <b/>
            <sz val="9"/>
            <color indexed="81"/>
            <rFont val="Tahoma"/>
            <charset val="1"/>
          </rPr>
          <t>ACUMEN:</t>
        </r>
        <r>
          <rPr>
            <sz val="9"/>
            <color indexed="81"/>
            <rFont val="Tahoma"/>
            <charset val="1"/>
          </rPr>
          <t xml:space="preserve">
This row details the gas generation rate per thousand tonnes of waste deposited under a 25 year emplacement scenario.</t>
        </r>
      </text>
    </comment>
    <comment ref="F26" authorId="0">
      <text>
        <r>
          <rPr>
            <b/>
            <sz val="9"/>
            <color indexed="81"/>
            <rFont val="Tahoma"/>
            <charset val="1"/>
          </rPr>
          <t>ACUMEN:</t>
        </r>
        <r>
          <rPr>
            <sz val="9"/>
            <color indexed="81"/>
            <rFont val="Tahoma"/>
            <charset val="1"/>
          </rPr>
          <t xml:space="preserve">
This row details the potential mass emission multiple (in tCO2e yr-1 kt-1) of methane-derived GHG contribution of the 25 year scenario unit gas production rate.</t>
        </r>
      </text>
    </comment>
    <comment ref="F27" authorId="0">
      <text>
        <r>
          <rPr>
            <b/>
            <sz val="9"/>
            <color indexed="81"/>
            <rFont val="Tahoma"/>
            <charset val="1"/>
          </rPr>
          <t>ACUMEN:</t>
        </r>
        <r>
          <rPr>
            <sz val="9"/>
            <color indexed="81"/>
            <rFont val="Tahoma"/>
            <charset val="1"/>
          </rPr>
          <t xml:space="preserve">
This row details the annual average hourly landfill gas generation rate of 25kT of waste deposited over 30 years.</t>
        </r>
      </text>
    </comment>
    <comment ref="F28" authorId="0">
      <text>
        <r>
          <rPr>
            <b/>
            <sz val="9"/>
            <color indexed="81"/>
            <rFont val="Tahoma"/>
            <charset val="1"/>
          </rPr>
          <t>ACUMEN:</t>
        </r>
        <r>
          <rPr>
            <sz val="9"/>
            <color indexed="81"/>
            <rFont val="Tahoma"/>
            <charset val="1"/>
          </rPr>
          <t xml:space="preserve">
This row details the gas generation rate per thousand tonnes of waste deposited under a 30 year emplacement scenario.</t>
        </r>
      </text>
    </comment>
    <comment ref="F30" authorId="0">
      <text>
        <r>
          <rPr>
            <b/>
            <sz val="9"/>
            <color indexed="81"/>
            <rFont val="Tahoma"/>
            <charset val="1"/>
          </rPr>
          <t>ACUMEN:</t>
        </r>
        <r>
          <rPr>
            <sz val="9"/>
            <color indexed="81"/>
            <rFont val="Tahoma"/>
            <charset val="1"/>
          </rPr>
          <t xml:space="preserve">
This row details the potential mass emission multiple (in tCO2e yr-1 kt-1) of methane-derived GHG contribution of the 30 year scenario unit gas production rate.</t>
        </r>
      </text>
    </comment>
  </commentList>
</comments>
</file>

<file path=xl/comments3.xml><?xml version="1.0" encoding="utf-8"?>
<comments xmlns="http://schemas.openxmlformats.org/spreadsheetml/2006/main">
  <authors>
    <author>Scott Latham</author>
    <author>MAskin</author>
  </authors>
  <commentList>
    <comment ref="Z16" authorId="0">
      <text>
        <r>
          <rPr>
            <b/>
            <sz val="9"/>
            <color indexed="81"/>
            <rFont val="Tahoma"/>
            <family val="2"/>
          </rPr>
          <t>Scott Latham:</t>
        </r>
        <r>
          <rPr>
            <sz val="9"/>
            <color indexed="81"/>
            <rFont val="Tahoma"/>
            <family val="2"/>
          </rPr>
          <t xml:space="preserve">
Used for Graph secondary axis current year line</t>
        </r>
      </text>
    </comment>
    <comment ref="AA16" authorId="0">
      <text>
        <r>
          <rPr>
            <b/>
            <sz val="9"/>
            <color indexed="81"/>
            <rFont val="Tahoma"/>
            <family val="2"/>
          </rPr>
          <t>Scott Latham:</t>
        </r>
        <r>
          <rPr>
            <sz val="9"/>
            <color indexed="81"/>
            <rFont val="Tahoma"/>
            <family val="2"/>
          </rPr>
          <t xml:space="preserve">
Checks whether current year and then says TRUE for each year following current year. This can then be used to ensure SUM is done from whatever current yera is </t>
        </r>
      </text>
    </comment>
    <comment ref="AD16" authorId="0">
      <text>
        <r>
          <rPr>
            <b/>
            <sz val="9"/>
            <color indexed="81"/>
            <rFont val="Tahoma"/>
            <family val="2"/>
          </rPr>
          <t>Scott Latham:</t>
        </r>
        <r>
          <rPr>
            <sz val="9"/>
            <color indexed="81"/>
            <rFont val="Tahoma"/>
            <family val="2"/>
          </rPr>
          <t xml:space="preserve">
Only adds in total GHG value if current year onwards - SUM therefore doesn't need to be moved each year will automatically move as spreadsheet automatically works out current year</t>
        </r>
      </text>
    </comment>
    <comment ref="D41" authorId="1">
      <text>
        <r>
          <rPr>
            <b/>
            <sz val="9"/>
            <color indexed="81"/>
            <rFont val="Tahoma"/>
            <family val="2"/>
          </rPr>
          <t xml:space="preserve">ACUMEN:
</t>
        </r>
        <r>
          <rPr>
            <sz val="11"/>
            <color indexed="81"/>
            <rFont val="Tahoma"/>
            <family val="2"/>
          </rPr>
          <t>The GET results refer to landfill gas containing 50% methane. In practice, the landfill gas generated at older sites contains less methane, typically 15 - 30%.</t>
        </r>
        <r>
          <rPr>
            <sz val="9"/>
            <color indexed="81"/>
            <rFont val="Tahoma"/>
            <family val="2"/>
          </rPr>
          <t xml:space="preserve">
</t>
        </r>
      </text>
    </comment>
    <comment ref="D45" authorId="1">
      <text>
        <r>
          <rPr>
            <b/>
            <sz val="9"/>
            <color indexed="81"/>
            <rFont val="Tahoma"/>
            <family val="2"/>
          </rPr>
          <t xml:space="preserve">ACUMEN:
</t>
        </r>
        <r>
          <rPr>
            <sz val="11"/>
            <color indexed="81"/>
            <rFont val="Tahoma"/>
            <family val="2"/>
          </rPr>
          <t>This result is the mass equivalent of Result 2. In practice, not all of this methane will be emitted to atmosphere due to surface oxidation and other factors.</t>
        </r>
        <r>
          <rPr>
            <sz val="9"/>
            <color indexed="81"/>
            <rFont val="Tahoma"/>
            <family val="2"/>
          </rPr>
          <t xml:space="preserve">
</t>
        </r>
      </text>
    </comment>
    <comment ref="D47" authorId="1">
      <text>
        <r>
          <rPr>
            <b/>
            <sz val="9"/>
            <color indexed="81"/>
            <rFont val="Tahoma"/>
            <family val="2"/>
          </rPr>
          <t xml:space="preserve">ACUMEN:
</t>
        </r>
        <r>
          <rPr>
            <sz val="11"/>
            <color indexed="81"/>
            <rFont val="Tahoma"/>
            <family val="2"/>
          </rPr>
          <t>This result sums the remaining hypothetical GHG potential of the site being modelled. It only includes the values between the current year (Cell D2) and 50 years post site closure.</t>
        </r>
        <r>
          <rPr>
            <sz val="9"/>
            <color indexed="81"/>
            <rFont val="Tahoma"/>
            <family val="2"/>
          </rPr>
          <t xml:space="preserve">
</t>
        </r>
      </text>
    </comment>
  </commentList>
</comments>
</file>

<file path=xl/comments4.xml><?xml version="1.0" encoding="utf-8"?>
<comments xmlns="http://schemas.openxmlformats.org/spreadsheetml/2006/main">
  <authors>
    <author>Scott Latham</author>
    <author>MAskin</author>
  </authors>
  <commentList>
    <comment ref="Z16" authorId="0">
      <text>
        <r>
          <rPr>
            <b/>
            <sz val="9"/>
            <color indexed="81"/>
            <rFont val="Tahoma"/>
            <family val="2"/>
          </rPr>
          <t>Scott Latham:</t>
        </r>
        <r>
          <rPr>
            <sz val="9"/>
            <color indexed="81"/>
            <rFont val="Tahoma"/>
            <family val="2"/>
          </rPr>
          <t xml:space="preserve">
Used for Graph secondary axis current year line</t>
        </r>
      </text>
    </comment>
    <comment ref="AA16" authorId="0">
      <text>
        <r>
          <rPr>
            <b/>
            <sz val="9"/>
            <color indexed="81"/>
            <rFont val="Tahoma"/>
            <family val="2"/>
          </rPr>
          <t>Scott Latham:</t>
        </r>
        <r>
          <rPr>
            <sz val="9"/>
            <color indexed="81"/>
            <rFont val="Tahoma"/>
            <family val="2"/>
          </rPr>
          <t xml:space="preserve">
Checks whether current year and then says TRUE for each year following current year. This can then be used to ensure SUM is done from whatever current yera is </t>
        </r>
      </text>
    </comment>
    <comment ref="AD16" authorId="0">
      <text>
        <r>
          <rPr>
            <b/>
            <sz val="9"/>
            <color indexed="81"/>
            <rFont val="Tahoma"/>
            <family val="2"/>
          </rPr>
          <t>Scott Latham:</t>
        </r>
        <r>
          <rPr>
            <sz val="9"/>
            <color indexed="81"/>
            <rFont val="Tahoma"/>
            <family val="2"/>
          </rPr>
          <t xml:space="preserve">
Only adds in total GHG value if current year onwards - SUM therefore doesn't need to be moved each year will automatically move as spreadsheet automatically works out current year</t>
        </r>
      </text>
    </comment>
    <comment ref="D41" authorId="1">
      <text>
        <r>
          <rPr>
            <b/>
            <sz val="9"/>
            <color indexed="81"/>
            <rFont val="Tahoma"/>
            <family val="2"/>
          </rPr>
          <t xml:space="preserve">ACUMEN:
</t>
        </r>
        <r>
          <rPr>
            <sz val="11"/>
            <color indexed="81"/>
            <rFont val="Tahoma"/>
            <family val="2"/>
          </rPr>
          <t>The GET results refer to landfill gas containing 50% methane. In practice, the landfill gas generated at older sites contains less methane, typically 15 - 30%.</t>
        </r>
        <r>
          <rPr>
            <sz val="9"/>
            <color indexed="81"/>
            <rFont val="Tahoma"/>
            <family val="2"/>
          </rPr>
          <t xml:space="preserve">
</t>
        </r>
      </text>
    </comment>
    <comment ref="D45" authorId="1">
      <text>
        <r>
          <rPr>
            <b/>
            <sz val="9"/>
            <color indexed="81"/>
            <rFont val="Tahoma"/>
            <family val="2"/>
          </rPr>
          <t xml:space="preserve">ACUMEN:
</t>
        </r>
        <r>
          <rPr>
            <sz val="11"/>
            <color indexed="81"/>
            <rFont val="Tahoma"/>
            <family val="2"/>
          </rPr>
          <t>This result is the mass equivalent of Result 2. In practice, not all of this methane will be emitted to atmosphere due to surface oxidation and other factors.</t>
        </r>
        <r>
          <rPr>
            <sz val="9"/>
            <color indexed="81"/>
            <rFont val="Tahoma"/>
            <family val="2"/>
          </rPr>
          <t xml:space="preserve">
</t>
        </r>
      </text>
    </comment>
    <comment ref="D47" authorId="1">
      <text>
        <r>
          <rPr>
            <b/>
            <sz val="9"/>
            <color indexed="81"/>
            <rFont val="Tahoma"/>
            <family val="2"/>
          </rPr>
          <t xml:space="preserve">ACUMEN:
</t>
        </r>
        <r>
          <rPr>
            <sz val="11"/>
            <color indexed="81"/>
            <rFont val="Tahoma"/>
            <family val="2"/>
          </rPr>
          <t>This result sums the remaining hypothetical GHG potential of the site being modelled. It only includes the values between the current year (Cell D2) and 50 years post site closure.</t>
        </r>
        <r>
          <rPr>
            <sz val="9"/>
            <color indexed="81"/>
            <rFont val="Tahoma"/>
            <family val="2"/>
          </rPr>
          <t xml:space="preserve">
</t>
        </r>
      </text>
    </comment>
  </commentList>
</comments>
</file>

<file path=xl/comments5.xml><?xml version="1.0" encoding="utf-8"?>
<comments xmlns="http://schemas.openxmlformats.org/spreadsheetml/2006/main">
  <authors>
    <author>Scott Latham</author>
    <author>MAskin</author>
  </authors>
  <commentList>
    <comment ref="Z16" authorId="0">
      <text>
        <r>
          <rPr>
            <b/>
            <sz val="9"/>
            <color indexed="81"/>
            <rFont val="Tahoma"/>
            <family val="2"/>
          </rPr>
          <t>Scott Latham:</t>
        </r>
        <r>
          <rPr>
            <sz val="9"/>
            <color indexed="81"/>
            <rFont val="Tahoma"/>
            <family val="2"/>
          </rPr>
          <t xml:space="preserve">
Used for Graph secondary axis current year line</t>
        </r>
      </text>
    </comment>
    <comment ref="AA16" authorId="0">
      <text>
        <r>
          <rPr>
            <b/>
            <sz val="9"/>
            <color indexed="81"/>
            <rFont val="Tahoma"/>
            <family val="2"/>
          </rPr>
          <t>Scott Latham:</t>
        </r>
        <r>
          <rPr>
            <sz val="9"/>
            <color indexed="81"/>
            <rFont val="Tahoma"/>
            <family val="2"/>
          </rPr>
          <t xml:space="preserve">
Checks whether current year and then says TRUE for each year following current year. This can then be used to ensure SUM is done from whatever current yera is </t>
        </r>
      </text>
    </comment>
    <comment ref="AD16" authorId="0">
      <text>
        <r>
          <rPr>
            <b/>
            <sz val="9"/>
            <color indexed="81"/>
            <rFont val="Tahoma"/>
            <family val="2"/>
          </rPr>
          <t>Scott Latham:</t>
        </r>
        <r>
          <rPr>
            <sz val="9"/>
            <color indexed="81"/>
            <rFont val="Tahoma"/>
            <family val="2"/>
          </rPr>
          <t xml:space="preserve">
Only adds in total GHG value if current year onwards - SUM therefore doesn't need to be moved each year will automatically move as spreadsheet automatically works out current year</t>
        </r>
      </text>
    </comment>
    <comment ref="D41" authorId="1">
      <text>
        <r>
          <rPr>
            <b/>
            <sz val="9"/>
            <color indexed="81"/>
            <rFont val="Tahoma"/>
            <family val="2"/>
          </rPr>
          <t xml:space="preserve">ACUMEN:
</t>
        </r>
        <r>
          <rPr>
            <sz val="11"/>
            <color indexed="81"/>
            <rFont val="Tahoma"/>
            <family val="2"/>
          </rPr>
          <t>The GET results refer to landfill gas containing 50% methane. In practice, the landfill gas generated at older sites contains less methane, typically 15 - 30%.</t>
        </r>
        <r>
          <rPr>
            <sz val="9"/>
            <color indexed="81"/>
            <rFont val="Tahoma"/>
            <family val="2"/>
          </rPr>
          <t xml:space="preserve">
</t>
        </r>
      </text>
    </comment>
    <comment ref="D45" authorId="1">
      <text>
        <r>
          <rPr>
            <b/>
            <sz val="9"/>
            <color indexed="81"/>
            <rFont val="Tahoma"/>
            <family val="2"/>
          </rPr>
          <t xml:space="preserve">ACUMEN:
</t>
        </r>
        <r>
          <rPr>
            <sz val="11"/>
            <color indexed="81"/>
            <rFont val="Tahoma"/>
            <family val="2"/>
          </rPr>
          <t>This result is the mass equivalent of Result 2. In practice, not all of this methane will be emitted to atmosphere due to surface oxidation and other factors.</t>
        </r>
        <r>
          <rPr>
            <sz val="9"/>
            <color indexed="81"/>
            <rFont val="Tahoma"/>
            <family val="2"/>
          </rPr>
          <t xml:space="preserve">
</t>
        </r>
      </text>
    </comment>
    <comment ref="D47" authorId="1">
      <text>
        <r>
          <rPr>
            <b/>
            <sz val="9"/>
            <color indexed="81"/>
            <rFont val="Tahoma"/>
            <family val="2"/>
          </rPr>
          <t xml:space="preserve">ACUMEN:
</t>
        </r>
        <r>
          <rPr>
            <sz val="11"/>
            <color indexed="81"/>
            <rFont val="Tahoma"/>
            <family val="2"/>
          </rPr>
          <t>This result sums the remaining hypothetical GHG potential of the site being modelled. It only includes the values between the current year (Cell D2) and 50 years post site closure.</t>
        </r>
        <r>
          <rPr>
            <sz val="9"/>
            <color indexed="81"/>
            <rFont val="Tahoma"/>
            <family val="2"/>
          </rPr>
          <t xml:space="preserve">
</t>
        </r>
      </text>
    </comment>
  </commentList>
</comments>
</file>

<file path=xl/comments6.xml><?xml version="1.0" encoding="utf-8"?>
<comments xmlns="http://schemas.openxmlformats.org/spreadsheetml/2006/main">
  <authors>
    <author>Scott Latham</author>
    <author>MAskin</author>
  </authors>
  <commentList>
    <comment ref="Z16" authorId="0">
      <text>
        <r>
          <rPr>
            <b/>
            <sz val="9"/>
            <color indexed="81"/>
            <rFont val="Tahoma"/>
            <family val="2"/>
          </rPr>
          <t>Scott Latham:</t>
        </r>
        <r>
          <rPr>
            <sz val="9"/>
            <color indexed="81"/>
            <rFont val="Tahoma"/>
            <family val="2"/>
          </rPr>
          <t xml:space="preserve">
Used for Graph secondary axis current year line</t>
        </r>
      </text>
    </comment>
    <comment ref="AA16" authorId="0">
      <text>
        <r>
          <rPr>
            <b/>
            <sz val="9"/>
            <color indexed="81"/>
            <rFont val="Tahoma"/>
            <family val="2"/>
          </rPr>
          <t>Scott Latham:</t>
        </r>
        <r>
          <rPr>
            <sz val="9"/>
            <color indexed="81"/>
            <rFont val="Tahoma"/>
            <family val="2"/>
          </rPr>
          <t xml:space="preserve">
Checks whether current year and then says TRUE for each year following current year. This can then be used to ensure SUM is done from whatever current yera is </t>
        </r>
      </text>
    </comment>
    <comment ref="AD16" authorId="0">
      <text>
        <r>
          <rPr>
            <b/>
            <sz val="9"/>
            <color indexed="81"/>
            <rFont val="Tahoma"/>
            <family val="2"/>
          </rPr>
          <t>Scott Latham:</t>
        </r>
        <r>
          <rPr>
            <sz val="9"/>
            <color indexed="81"/>
            <rFont val="Tahoma"/>
            <family val="2"/>
          </rPr>
          <t xml:space="preserve">
Only adds in total GHG value if current year onwards - SUM therefore doesn't need to be moved each year will automatically move as spreadsheet automatically works out current year</t>
        </r>
      </text>
    </comment>
    <comment ref="D41" authorId="1">
      <text>
        <r>
          <rPr>
            <b/>
            <sz val="9"/>
            <color indexed="81"/>
            <rFont val="Tahoma"/>
            <family val="2"/>
          </rPr>
          <t xml:space="preserve">ACUMEN:
</t>
        </r>
        <r>
          <rPr>
            <sz val="11"/>
            <color indexed="81"/>
            <rFont val="Tahoma"/>
            <family val="2"/>
          </rPr>
          <t>The GET results refer to landfill gas containing 50% methane. In practice, the landfill gas generated at older sites contains less methane, typically 15 - 30%.</t>
        </r>
        <r>
          <rPr>
            <sz val="9"/>
            <color indexed="81"/>
            <rFont val="Tahoma"/>
            <family val="2"/>
          </rPr>
          <t xml:space="preserve">
</t>
        </r>
      </text>
    </comment>
    <comment ref="D45" authorId="1">
      <text>
        <r>
          <rPr>
            <b/>
            <sz val="9"/>
            <color indexed="81"/>
            <rFont val="Tahoma"/>
            <family val="2"/>
          </rPr>
          <t xml:space="preserve">ACUMEN:
</t>
        </r>
        <r>
          <rPr>
            <sz val="11"/>
            <color indexed="81"/>
            <rFont val="Tahoma"/>
            <family val="2"/>
          </rPr>
          <t>This result is the mass equivalent of Result 2. In practice, not all of this methane will be emitted to atmosphere due to surface oxidation and other factors.</t>
        </r>
        <r>
          <rPr>
            <sz val="9"/>
            <color indexed="81"/>
            <rFont val="Tahoma"/>
            <family val="2"/>
          </rPr>
          <t xml:space="preserve">
</t>
        </r>
      </text>
    </comment>
    <comment ref="D47" authorId="1">
      <text>
        <r>
          <rPr>
            <b/>
            <sz val="9"/>
            <color indexed="81"/>
            <rFont val="Tahoma"/>
            <family val="2"/>
          </rPr>
          <t xml:space="preserve">ACUMEN:
</t>
        </r>
        <r>
          <rPr>
            <sz val="11"/>
            <color indexed="81"/>
            <rFont val="Tahoma"/>
            <family val="2"/>
          </rPr>
          <t>This result sums the remaining hypothetical GHG potential of the site being modelled. It only includes the values between the current year (Cell D2) and 50 years post site closure.</t>
        </r>
        <r>
          <rPr>
            <sz val="9"/>
            <color indexed="81"/>
            <rFont val="Tahoma"/>
            <family val="2"/>
          </rPr>
          <t xml:space="preserve">
</t>
        </r>
      </text>
    </comment>
  </commentList>
</comments>
</file>

<file path=xl/comments7.xml><?xml version="1.0" encoding="utf-8"?>
<comments xmlns="http://schemas.openxmlformats.org/spreadsheetml/2006/main">
  <authors>
    <author>Scott Latham</author>
    <author>MAskin</author>
  </authors>
  <commentList>
    <comment ref="Z16" authorId="0">
      <text>
        <r>
          <rPr>
            <b/>
            <sz val="9"/>
            <color indexed="81"/>
            <rFont val="Tahoma"/>
            <family val="2"/>
          </rPr>
          <t>Scott Latham:</t>
        </r>
        <r>
          <rPr>
            <sz val="9"/>
            <color indexed="81"/>
            <rFont val="Tahoma"/>
            <family val="2"/>
          </rPr>
          <t xml:space="preserve">
Used for Graph secondary axis current year line</t>
        </r>
      </text>
    </comment>
    <comment ref="AA16" authorId="0">
      <text>
        <r>
          <rPr>
            <b/>
            <sz val="9"/>
            <color indexed="81"/>
            <rFont val="Tahoma"/>
            <family val="2"/>
          </rPr>
          <t>Scott Latham:</t>
        </r>
        <r>
          <rPr>
            <sz val="9"/>
            <color indexed="81"/>
            <rFont val="Tahoma"/>
            <family val="2"/>
          </rPr>
          <t xml:space="preserve">
Checks whether current year and then says TRUE for each year following current year. This can then be used to ensure SUM is done from whatever current yera is </t>
        </r>
      </text>
    </comment>
    <comment ref="AD16" authorId="0">
      <text>
        <r>
          <rPr>
            <b/>
            <sz val="9"/>
            <color indexed="81"/>
            <rFont val="Tahoma"/>
            <family val="2"/>
          </rPr>
          <t>Scott Latham:</t>
        </r>
        <r>
          <rPr>
            <sz val="9"/>
            <color indexed="81"/>
            <rFont val="Tahoma"/>
            <family val="2"/>
          </rPr>
          <t xml:space="preserve">
Only adds in total GHG value if current year onwards - SUM therefore doesn't need to be moved each year will automatically move as spreadsheet automatically works out current year</t>
        </r>
      </text>
    </comment>
    <comment ref="D41" authorId="1">
      <text>
        <r>
          <rPr>
            <b/>
            <sz val="9"/>
            <color indexed="81"/>
            <rFont val="Tahoma"/>
            <family val="2"/>
          </rPr>
          <t xml:space="preserve">ACUMEN:
</t>
        </r>
        <r>
          <rPr>
            <sz val="11"/>
            <color indexed="81"/>
            <rFont val="Tahoma"/>
            <family val="2"/>
          </rPr>
          <t>The GET results refer to landfill gas containing 50% methane. In practice, the landfill gas generated at older sites contains less methane, typically 15 - 30%.</t>
        </r>
        <r>
          <rPr>
            <sz val="9"/>
            <color indexed="81"/>
            <rFont val="Tahoma"/>
            <family val="2"/>
          </rPr>
          <t xml:space="preserve">
</t>
        </r>
      </text>
    </comment>
    <comment ref="D45" authorId="1">
      <text>
        <r>
          <rPr>
            <b/>
            <sz val="9"/>
            <color indexed="81"/>
            <rFont val="Tahoma"/>
            <family val="2"/>
          </rPr>
          <t xml:space="preserve">ACUMEN:
</t>
        </r>
        <r>
          <rPr>
            <sz val="11"/>
            <color indexed="81"/>
            <rFont val="Tahoma"/>
            <family val="2"/>
          </rPr>
          <t>This result is the mass equivalent of Result 2. In practice, not all of this methane will be emitted to atmosphere due to surface oxidation and other factors.</t>
        </r>
        <r>
          <rPr>
            <sz val="9"/>
            <color indexed="81"/>
            <rFont val="Tahoma"/>
            <family val="2"/>
          </rPr>
          <t xml:space="preserve">
</t>
        </r>
      </text>
    </comment>
    <comment ref="D47" authorId="1">
      <text>
        <r>
          <rPr>
            <b/>
            <sz val="9"/>
            <color indexed="81"/>
            <rFont val="Tahoma"/>
            <family val="2"/>
          </rPr>
          <t xml:space="preserve">ACUMEN:
</t>
        </r>
        <r>
          <rPr>
            <sz val="11"/>
            <color indexed="81"/>
            <rFont val="Tahoma"/>
            <family val="2"/>
          </rPr>
          <t>This result sums the remaining hypothetical GHG potential of the site being modelled. It only includes the values between the current year (Cell D2) and 50 years post site closure.</t>
        </r>
        <r>
          <rPr>
            <sz val="9"/>
            <color indexed="81"/>
            <rFont val="Tahoma"/>
            <family val="2"/>
          </rPr>
          <t xml:space="preserve">
</t>
        </r>
      </text>
    </comment>
  </commentList>
</comments>
</file>

<file path=xl/sharedStrings.xml><?xml version="1.0" encoding="utf-8"?>
<sst xmlns="http://schemas.openxmlformats.org/spreadsheetml/2006/main" count="622" uniqueCount="115">
  <si>
    <t>kT</t>
  </si>
  <si>
    <r>
      <t>m</t>
    </r>
    <r>
      <rPr>
        <vertAlign val="superscript"/>
        <sz val="12"/>
        <color theme="1"/>
        <rFont val="Arial"/>
        <family val="2"/>
      </rPr>
      <t>3</t>
    </r>
    <r>
      <rPr>
        <sz val="12"/>
        <color theme="1"/>
        <rFont val="Arial"/>
        <family val="2"/>
      </rPr>
      <t xml:space="preserve"> hr</t>
    </r>
    <r>
      <rPr>
        <vertAlign val="superscript"/>
        <sz val="12"/>
        <color theme="1"/>
        <rFont val="Arial"/>
        <family val="2"/>
      </rPr>
      <t>-1</t>
    </r>
    <r>
      <rPr>
        <sz val="12"/>
        <color theme="1"/>
        <rFont val="Arial"/>
        <family val="2"/>
      </rPr>
      <t xml:space="preserve"> kt</t>
    </r>
    <r>
      <rPr>
        <vertAlign val="superscript"/>
        <sz val="12"/>
        <color theme="1"/>
        <rFont val="Arial"/>
        <family val="2"/>
      </rPr>
      <t>-1</t>
    </r>
  </si>
  <si>
    <t>Current year</t>
  </si>
  <si>
    <t>Year of site closure</t>
  </si>
  <si>
    <t>Year of site opening</t>
  </si>
  <si>
    <t>Operational period</t>
  </si>
  <si>
    <t>Total waste emplaced (kT)</t>
  </si>
  <si>
    <t>Annual gas decay rate</t>
  </si>
  <si>
    <t>Year</t>
  </si>
  <si>
    <t>Formula</t>
  </si>
  <si>
    <t>relevant year</t>
  </si>
  <si>
    <t>VL Results</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</si>
  <si>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</si>
  <si>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</si>
  <si>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</si>
  <si>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</si>
  <si>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</si>
  <si>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</si>
  <si>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</si>
  <si>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</si>
  <si>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</si>
  <si>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</si>
  <si>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</si>
  <si>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</si>
  <si>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</si>
  <si>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</si>
  <si>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</si>
  <si>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</si>
  <si>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</si>
  <si>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</si>
  <si>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</si>
  <si>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</si>
  <si>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</si>
  <si>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</si>
  <si>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</si>
  <si>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</si>
  <si>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</si>
  <si>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</si>
  <si>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</si>
  <si>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</si>
  <si>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</si>
  <si>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</si>
  <si>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</si>
  <si>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</si>
  <si>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</si>
  <si>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</si>
  <si>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</si>
  <si>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</si>
  <si>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</si>
  <si>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</si>
  <si>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</si>
  <si>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</si>
  <si>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</si>
  <si>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</si>
  <si>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</si>
  <si>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</si>
  <si>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</si>
  <si>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</si>
  <si>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A</t>
  </si>
  <si>
    <t>B</t>
  </si>
  <si>
    <t>C</t>
  </si>
  <si>
    <t>D</t>
  </si>
  <si>
    <t>F</t>
  </si>
  <si>
    <t>BA</t>
  </si>
  <si>
    <t>BB</t>
  </si>
  <si>
    <t>BC</t>
  </si>
  <si>
    <t>BD</t>
  </si>
  <si>
    <r>
      <t>1 m</t>
    </r>
    <r>
      <rPr>
        <vertAlign val="superscript"/>
        <sz val="10"/>
        <rFont val="Arial"/>
        <family val="2"/>
      </rPr>
      <t>3</t>
    </r>
    <r>
      <rPr>
        <sz val="10"/>
        <rFont val="Arial"/>
        <family val="2"/>
      </rPr>
      <t>STP is 1 m</t>
    </r>
    <r>
      <rPr>
        <vertAlign val="superscript"/>
        <sz val="10"/>
        <rFont val="Arial"/>
        <family val="2"/>
      </rPr>
      <t>3</t>
    </r>
    <r>
      <rPr>
        <sz val="10"/>
        <rFont val="Arial"/>
        <family val="2"/>
      </rPr>
      <t xml:space="preserve"> at standard temperature (273K) and pressure (1013 mbar)</t>
    </r>
  </si>
  <si>
    <t>E</t>
  </si>
  <si>
    <t>Years</t>
  </si>
  <si>
    <t xml:space="preserve"> kg m-3 CO2 @ STP</t>
  </si>
  <si>
    <t>Unit gas production rate</t>
  </si>
  <si>
    <t>Graphical results</t>
  </si>
  <si>
    <t>Current estimated gas generation</t>
  </si>
  <si>
    <t>Years Post Closure (YPC)</t>
  </si>
  <si>
    <t>1 year emplacement scenario</t>
  </si>
  <si>
    <t>5 year emplacement scenario</t>
  </si>
  <si>
    <t>10 year emplacement scenario</t>
  </si>
  <si>
    <t>15 year emplacement scenario</t>
  </si>
  <si>
    <t>20 year emplacement scenario</t>
  </si>
  <si>
    <t>25 year emplacement scnenario</t>
  </si>
  <si>
    <t>30 year emplacement scnenario</t>
  </si>
  <si>
    <t>Annual GHG potential (from CH4)</t>
  </si>
  <si>
    <t>ACUMEN Gas Estimation Tool</t>
  </si>
  <si>
    <t>ACUMEN Gas Estimation Tool (GET)</t>
  </si>
  <si>
    <r>
      <t>Total GHG potential (tCO</t>
    </r>
    <r>
      <rPr>
        <vertAlign val="subscript"/>
        <sz val="12"/>
        <color theme="1"/>
        <rFont val="Arial"/>
        <family val="2"/>
      </rPr>
      <t>2</t>
    </r>
    <r>
      <rPr>
        <sz val="12"/>
        <color theme="1"/>
        <rFont val="Arial"/>
        <family val="2"/>
      </rPr>
      <t>e yr</t>
    </r>
    <r>
      <rPr>
        <vertAlign val="superscript"/>
        <sz val="12"/>
        <color theme="1"/>
        <rFont val="Arial"/>
        <family val="2"/>
      </rPr>
      <t>-1</t>
    </r>
    <r>
      <rPr>
        <sz val="12"/>
        <color theme="1"/>
        <rFont val="Arial"/>
        <family val="2"/>
      </rPr>
      <t>) (from CH4)</t>
    </r>
  </si>
  <si>
    <t>gCH4/hour</t>
  </si>
  <si>
    <t>Use in SUM?</t>
  </si>
  <si>
    <t>Modelled mass of 1m3 of landfill gas pure methane (grams)</t>
  </si>
  <si>
    <r>
      <t>Total LFG generated (m</t>
    </r>
    <r>
      <rPr>
        <vertAlign val="superscript"/>
        <sz val="12"/>
        <color theme="1"/>
        <rFont val="Arial"/>
        <family val="2"/>
      </rPr>
      <t>3</t>
    </r>
    <r>
      <rPr>
        <sz val="12"/>
        <color theme="1"/>
        <rFont val="Arial"/>
        <family val="2"/>
      </rPr>
      <t xml:space="preserve"> hr</t>
    </r>
    <r>
      <rPr>
        <vertAlign val="superscript"/>
        <sz val="12"/>
        <color theme="1"/>
        <rFont val="Arial"/>
        <family val="2"/>
      </rPr>
      <t>-1</t>
    </r>
    <r>
      <rPr>
        <sz val="12"/>
        <color theme="1"/>
        <rFont val="Arial"/>
        <family val="2"/>
      </rPr>
      <t>) (50% CH4)</t>
    </r>
  </si>
  <si>
    <t>Active year</t>
  </si>
  <si>
    <t>Estimated potential GHG remaining up to</t>
  </si>
  <si>
    <t>Operational results</t>
  </si>
  <si>
    <t>Greenhouse Gas results</t>
  </si>
  <si>
    <r>
      <rPr>
        <b/>
        <sz val="14"/>
        <color rgb="FF990000"/>
        <rFont val="Arial"/>
        <family val="2"/>
      </rPr>
      <t>Step 1</t>
    </r>
    <r>
      <rPr>
        <sz val="14"/>
        <color rgb="FF990000"/>
        <rFont val="Arial"/>
        <family val="2"/>
      </rPr>
      <t xml:space="preserve"> </t>
    </r>
    <r>
      <rPr>
        <sz val="14"/>
        <color theme="1"/>
        <rFont val="Arial"/>
        <family val="2"/>
      </rPr>
      <t>- Enter the year in which your site first accepted waste</t>
    </r>
  </si>
  <si>
    <r>
      <rPr>
        <b/>
        <sz val="14"/>
        <color rgb="FF990000"/>
        <rFont val="Arial"/>
        <family val="2"/>
      </rPr>
      <t xml:space="preserve">Step 2 </t>
    </r>
    <r>
      <rPr>
        <sz val="14"/>
        <color theme="1"/>
        <rFont val="Arial"/>
        <family val="2"/>
      </rPr>
      <t>- Enter the year in which your site ceased accepting waste</t>
    </r>
  </si>
  <si>
    <t>+33%</t>
  </si>
  <si>
    <t>-33%</t>
  </si>
  <si>
    <r>
      <rPr>
        <b/>
        <sz val="14"/>
        <color rgb="FF990000"/>
        <rFont val="Arial"/>
        <family val="2"/>
      </rPr>
      <t>Step 3</t>
    </r>
    <r>
      <rPr>
        <sz val="14"/>
        <color theme="1"/>
        <rFont val="Arial"/>
        <family val="2"/>
      </rPr>
      <t xml:space="preserve"> - Enter the total amount of waste deposited in kilotonnes (1 kt = 1,000 tonnes)</t>
    </r>
  </si>
  <si>
    <t>kt</t>
  </si>
  <si>
    <r>
      <rPr>
        <b/>
        <sz val="14"/>
        <color rgb="FF990000"/>
        <rFont val="Arial"/>
        <family val="2"/>
      </rPr>
      <t>Result 1</t>
    </r>
    <r>
      <rPr>
        <sz val="14"/>
        <color theme="1"/>
        <rFont val="Arial"/>
        <family val="2"/>
      </rPr>
      <t xml:space="preserve"> - This is the operational period of your landfill</t>
    </r>
  </si>
  <si>
    <r>
      <rPr>
        <b/>
        <sz val="14"/>
        <color rgb="FF990000"/>
        <rFont val="Arial"/>
        <family val="2"/>
      </rPr>
      <t>Result 2</t>
    </r>
    <r>
      <rPr>
        <sz val="14"/>
        <color theme="1"/>
        <rFont val="Arial"/>
        <family val="2"/>
      </rPr>
      <t xml:space="preserve"> - This is the current estimated gas generation rate at your site</t>
    </r>
  </si>
  <si>
    <r>
      <rPr>
        <b/>
        <sz val="14"/>
        <color rgb="FF990000"/>
        <rFont val="Arial"/>
        <family val="2"/>
      </rPr>
      <t>Result 3</t>
    </r>
    <r>
      <rPr>
        <sz val="14"/>
        <color theme="1"/>
        <rFont val="Arial"/>
        <family val="2"/>
      </rPr>
      <t xml:space="preserve"> - This is the current estimated greenhouse gas source at your site, expressed in tCO</t>
    </r>
    <r>
      <rPr>
        <vertAlign val="subscript"/>
        <sz val="14"/>
        <color theme="1"/>
        <rFont val="Arial"/>
        <family val="2"/>
      </rPr>
      <t>2</t>
    </r>
    <r>
      <rPr>
        <sz val="14"/>
        <color theme="1"/>
        <rFont val="Arial"/>
        <family val="2"/>
      </rPr>
      <t>e y</t>
    </r>
    <r>
      <rPr>
        <vertAlign val="superscript"/>
        <sz val="14"/>
        <color theme="1"/>
        <rFont val="Arial"/>
        <family val="2"/>
      </rPr>
      <t>-1</t>
    </r>
    <r>
      <rPr>
        <sz val="14"/>
        <color theme="1"/>
        <rFont val="Arial"/>
        <family val="2"/>
      </rPr>
      <t>.</t>
    </r>
  </si>
  <si>
    <r>
      <t>tCO</t>
    </r>
    <r>
      <rPr>
        <vertAlign val="subscript"/>
        <sz val="14"/>
        <color theme="1"/>
        <rFont val="Arial"/>
        <family val="2"/>
      </rPr>
      <t>2</t>
    </r>
    <r>
      <rPr>
        <sz val="14"/>
        <color theme="1"/>
        <rFont val="Arial"/>
        <family val="2"/>
      </rPr>
      <t>e</t>
    </r>
    <r>
      <rPr>
        <sz val="12"/>
        <color theme="1"/>
        <rFont val="Arial"/>
        <family val="2"/>
      </rPr>
      <t/>
    </r>
  </si>
  <si>
    <r>
      <rPr>
        <b/>
        <sz val="14"/>
        <color rgb="FF990000"/>
        <rFont val="Arial"/>
        <family val="2"/>
      </rPr>
      <t>Result 4</t>
    </r>
    <r>
      <rPr>
        <sz val="14"/>
        <color rgb="FF990000"/>
        <rFont val="Arial"/>
        <family val="2"/>
      </rPr>
      <t xml:space="preserve"> </t>
    </r>
    <r>
      <rPr>
        <sz val="14"/>
        <color theme="1"/>
        <rFont val="Arial"/>
        <family val="2"/>
      </rPr>
      <t>- This is the estimated remaining methane source term for the fifty years following site closure, expressed in tCO2e</t>
    </r>
  </si>
  <si>
    <r>
      <t>m</t>
    </r>
    <r>
      <rPr>
        <vertAlign val="superscript"/>
        <sz val="14"/>
        <color theme="1"/>
        <rFont val="Arial"/>
        <family val="2"/>
      </rPr>
      <t>3</t>
    </r>
    <r>
      <rPr>
        <sz val="14"/>
        <color theme="1"/>
        <rFont val="Arial"/>
        <family val="2"/>
      </rPr>
      <t xml:space="preserve"> hr</t>
    </r>
    <r>
      <rPr>
        <vertAlign val="superscript"/>
        <sz val="14"/>
        <color theme="1"/>
        <rFont val="Arial"/>
        <family val="2"/>
      </rPr>
      <t>-1</t>
    </r>
    <r>
      <rPr>
        <sz val="14"/>
        <color theme="1"/>
        <rFont val="Arial"/>
        <family val="2"/>
      </rPr>
      <t xml:space="preserve"> (@ STP, @ </t>
    </r>
    <r>
      <rPr>
        <b/>
        <sz val="14"/>
        <color theme="1"/>
        <rFont val="Arial"/>
        <family val="2"/>
      </rPr>
      <t>50%</t>
    </r>
    <r>
      <rPr>
        <sz val="14"/>
        <color theme="1"/>
        <rFont val="Arial"/>
        <family val="2"/>
      </rPr>
      <t xml:space="preserve"> CH</t>
    </r>
    <r>
      <rPr>
        <vertAlign val="subscript"/>
        <sz val="14"/>
        <color theme="1"/>
        <rFont val="Arial"/>
        <family val="2"/>
      </rPr>
      <t>4</t>
    </r>
    <r>
      <rPr>
        <sz val="14"/>
        <color theme="1"/>
        <rFont val="Arial"/>
        <family val="2"/>
      </rPr>
      <t>)</t>
    </r>
  </si>
  <si>
    <t>Estimated GHG potential this year</t>
  </si>
  <si>
    <t>The latest update is from: August 2015</t>
  </si>
  <si>
    <t>Greenhouse gas results</t>
  </si>
  <si>
    <r>
      <t>tCO</t>
    </r>
    <r>
      <rPr>
        <vertAlign val="subscript"/>
        <sz val="12"/>
        <color theme="1"/>
        <rFont val="Arial"/>
        <family val="2"/>
      </rPr>
      <t>2</t>
    </r>
    <r>
      <rPr>
        <sz val="12"/>
        <color theme="1"/>
        <rFont val="Arial"/>
        <family val="2"/>
      </rPr>
      <t xml:space="preserve"> yr</t>
    </r>
    <r>
      <rPr>
        <vertAlign val="superscript"/>
        <sz val="12"/>
        <color theme="1"/>
        <rFont val="Arial"/>
        <family val="2"/>
      </rPr>
      <t xml:space="preserve">-1 </t>
    </r>
    <r>
      <rPr>
        <sz val="12"/>
        <color theme="1"/>
        <rFont val="Arial"/>
        <family val="2"/>
      </rPr>
      <t>kT</t>
    </r>
    <r>
      <rPr>
        <vertAlign val="superscript"/>
        <sz val="12"/>
        <color theme="1"/>
        <rFont val="Arial"/>
        <family val="2"/>
      </rPr>
      <t>-1</t>
    </r>
  </si>
  <si>
    <t>Total waste emplaced</t>
  </si>
  <si>
    <r>
      <rPr>
        <b/>
        <sz val="14"/>
        <color rgb="FF990000"/>
        <rFont val="Arial"/>
        <family val="2"/>
      </rPr>
      <t>Result 3</t>
    </r>
    <r>
      <rPr>
        <sz val="14"/>
        <color theme="1"/>
        <rFont val="Arial"/>
        <family val="2"/>
      </rPr>
      <t xml:space="preserve"> - This is the current estimated greenhouse gas source at your site, expressed in tCO</t>
    </r>
    <r>
      <rPr>
        <vertAlign val="subscript"/>
        <sz val="14"/>
        <color theme="1"/>
        <rFont val="Arial"/>
        <family val="2"/>
      </rPr>
      <t>2</t>
    </r>
    <r>
      <rPr>
        <sz val="14"/>
        <color theme="1"/>
        <rFont val="Arial"/>
        <family val="2"/>
      </rPr>
      <t>e</t>
    </r>
  </si>
  <si>
    <r>
      <t>1 m</t>
    </r>
    <r>
      <rPr>
        <vertAlign val="superscript"/>
        <sz val="10"/>
        <rFont val="Arial"/>
        <family val="2"/>
      </rPr>
      <t>3</t>
    </r>
    <r>
      <rPr>
        <sz val="10"/>
        <rFont val="Arial"/>
        <family val="2"/>
      </rPr>
      <t>STP/hour of LFG equals (50% CH4)</t>
    </r>
  </si>
  <si>
    <r>
      <rPr>
        <b/>
        <sz val="14"/>
        <color rgb="FF990000"/>
        <rFont val="Arial"/>
        <family val="2"/>
      </rPr>
      <t>Result 4</t>
    </r>
    <r>
      <rPr>
        <sz val="14"/>
        <color rgb="FF990000"/>
        <rFont val="Arial"/>
        <family val="2"/>
      </rPr>
      <t xml:space="preserve"> </t>
    </r>
    <r>
      <rPr>
        <sz val="14"/>
        <color theme="1"/>
        <rFont val="Arial"/>
        <family val="2"/>
      </rPr>
      <t>- This is the estimated remaining greenhouse gas source term for the fifty years following site closure, expressed in tCO2e</t>
    </r>
  </si>
  <si>
    <r>
      <rPr>
        <b/>
        <sz val="14"/>
        <color rgb="FF990000"/>
        <rFont val="Arial"/>
        <family val="2"/>
      </rPr>
      <t>Introduction</t>
    </r>
    <r>
      <rPr>
        <sz val="14"/>
        <rFont val="Arial"/>
        <family val="2"/>
      </rPr>
      <t xml:space="preserve">
This tool was developed as part of the EU Life+ funded ACUMEN project (LIFE11 ENV/UK/402) by the Environment Agency. 
</t>
    </r>
    <r>
      <rPr>
        <b/>
        <sz val="14"/>
        <color rgb="FF990000"/>
        <rFont val="Arial"/>
        <family val="2"/>
      </rPr>
      <t>What's the ACUMEN GET intended for?</t>
    </r>
    <r>
      <rPr>
        <sz val="14"/>
        <rFont val="Arial"/>
        <family val="2"/>
      </rPr>
      <t xml:space="preserve">
The tool is intended to indicate approximate landfill gas generation rates during the post closure period at typical UK landfills, based on very limited data inputs. The tool also approximates the potential greenhouse gas emission at such sites if no methane recovery is in place (for example, a site that employs passive landfill gas venting). 
</t>
    </r>
    <r>
      <rPr>
        <b/>
        <sz val="14"/>
        <color rgb="FF990000"/>
        <rFont val="Arial"/>
        <family val="2"/>
      </rPr>
      <t>How does the tool work?</t>
    </r>
    <r>
      <rPr>
        <sz val="14"/>
        <rFont val="Arial"/>
        <family val="2"/>
      </rPr>
      <t xml:space="preserve">
The approximations are based on simplified modelling of typical late-1990s UK waste data derived using Gassim (Version 2.05). The tool works by using the data inputted to match a landfill's operational parameters (operational period, years since closure and total waste deposited) against a set of pre-populated data tables. The tool then presents a series of simple graphical and numerical results.
</t>
    </r>
    <r>
      <rPr>
        <b/>
        <sz val="14"/>
        <color rgb="FF990000"/>
        <rFont val="Arial"/>
        <family val="2"/>
      </rPr>
      <t>What should the tool be used for?</t>
    </r>
    <r>
      <rPr>
        <sz val="14"/>
        <rFont val="Arial"/>
        <family val="2"/>
      </rPr>
      <t xml:space="preserve">
The tool is intended to provide a quick and simple </t>
    </r>
    <r>
      <rPr>
        <b/>
        <sz val="14"/>
        <rFont val="Arial"/>
        <family val="2"/>
      </rPr>
      <t>first step</t>
    </r>
    <r>
      <rPr>
        <sz val="14"/>
        <rFont val="Arial"/>
        <family val="2"/>
      </rPr>
      <t xml:space="preserve"> to anyone wishing to develop or improve gas management and utilisation at a UK landfill, particularly those with no history of active gas management. 
</t>
    </r>
    <r>
      <rPr>
        <b/>
        <sz val="14"/>
        <color rgb="FF990000"/>
        <rFont val="Arial"/>
        <family val="2"/>
      </rPr>
      <t xml:space="preserve">What should the tool </t>
    </r>
    <r>
      <rPr>
        <b/>
        <i/>
        <sz val="14"/>
        <color rgb="FF990000"/>
        <rFont val="Arial"/>
        <family val="2"/>
      </rPr>
      <t>not</t>
    </r>
    <r>
      <rPr>
        <b/>
        <sz val="14"/>
        <color rgb="FF990000"/>
        <rFont val="Arial"/>
        <family val="2"/>
      </rPr>
      <t xml:space="preserve"> be used for?</t>
    </r>
    <r>
      <rPr>
        <sz val="14"/>
        <rFont val="Arial"/>
        <family val="2"/>
      </rPr>
      <t xml:space="preserve">
This tool </t>
    </r>
    <r>
      <rPr>
        <b/>
        <sz val="14"/>
        <rFont val="Arial"/>
        <family val="2"/>
      </rPr>
      <t>must not</t>
    </r>
    <r>
      <rPr>
        <sz val="14"/>
        <rFont val="Arial"/>
        <family val="2"/>
      </rPr>
      <t xml:space="preserve"> be used as the sole basis to intervene, or not, in the current gas management regime at any particular landfill.
</t>
    </r>
    <r>
      <rPr>
        <b/>
        <sz val="14"/>
        <color rgb="FF990000"/>
        <rFont val="Arial"/>
        <family val="2"/>
      </rPr>
      <t>Need more information?</t>
    </r>
    <r>
      <rPr>
        <sz val="14"/>
        <rFont val="Arial"/>
        <family val="2"/>
      </rPr>
      <t xml:space="preserve">
Further information on how the development of this tool, and how it works can be accessed in the ACUMEN GET development report (due for publishing Autumn 2015).</t>
    </r>
  </si>
</sst>
</file>

<file path=xl/styles.xml><?xml version="1.0" encoding="utf-8"?>
<styleSheet xmlns="http://schemas.openxmlformats.org/spreadsheetml/2006/main">
  <numFmts count="1">
    <numFmt numFmtId="164" formatCode="0.0000"/>
  </numFmts>
  <fonts count="27">
    <font>
      <sz val="12"/>
      <color theme="1"/>
      <name val="Arial"/>
      <family val="2"/>
    </font>
    <font>
      <vertAlign val="superscript"/>
      <sz val="12"/>
      <color theme="1"/>
      <name val="Arial"/>
      <family val="2"/>
    </font>
    <font>
      <sz val="12"/>
      <color rgb="FF006100"/>
      <name val="Arial"/>
      <family val="2"/>
    </font>
    <font>
      <sz val="12"/>
      <color rgb="FF9C6500"/>
      <name val="Arial"/>
      <family val="2"/>
    </font>
    <font>
      <sz val="10"/>
      <name val="Arial"/>
      <family val="2"/>
    </font>
    <font>
      <vertAlign val="superscript"/>
      <sz val="10"/>
      <name val="Arial"/>
      <family val="2"/>
    </font>
    <font>
      <vertAlign val="subscript"/>
      <sz val="12"/>
      <color theme="1"/>
      <name val="Arial"/>
      <family val="2"/>
    </font>
    <font>
      <b/>
      <sz val="12"/>
      <color theme="1"/>
      <name val="Arial"/>
      <family val="2"/>
    </font>
    <font>
      <sz val="9"/>
      <color indexed="81"/>
      <name val="Tahoma"/>
      <family val="2"/>
    </font>
    <font>
      <b/>
      <sz val="9"/>
      <color indexed="81"/>
      <name val="Tahoma"/>
      <family val="2"/>
    </font>
    <font>
      <b/>
      <sz val="36"/>
      <color rgb="FF990000"/>
      <name val="Arial"/>
      <family val="2"/>
    </font>
    <font>
      <b/>
      <sz val="14"/>
      <color rgb="FF990000"/>
      <name val="Arial"/>
      <family val="2"/>
    </font>
    <font>
      <b/>
      <i/>
      <sz val="14"/>
      <color rgb="FF990000"/>
      <name val="Arial"/>
      <family val="2"/>
    </font>
    <font>
      <b/>
      <sz val="20"/>
      <color rgb="FF990000"/>
      <name val="Arial"/>
      <family val="2"/>
    </font>
    <font>
      <b/>
      <sz val="22"/>
      <color rgb="FF990000"/>
      <name val="Arial"/>
      <family val="2"/>
    </font>
    <font>
      <sz val="14"/>
      <color theme="1"/>
      <name val="Arial"/>
      <family val="2"/>
    </font>
    <font>
      <sz val="14"/>
      <color rgb="FF990000"/>
      <name val="Arial"/>
      <family val="2"/>
    </font>
    <font>
      <sz val="10"/>
      <color rgb="FF1F497D"/>
      <name val="Calibri"/>
      <family val="2"/>
    </font>
    <font>
      <sz val="10"/>
      <color theme="1"/>
      <name val="Arial"/>
      <family val="2"/>
    </font>
    <font>
      <sz val="9"/>
      <color indexed="81"/>
      <name val="Tahoma"/>
      <charset val="1"/>
    </font>
    <font>
      <b/>
      <sz val="9"/>
      <color indexed="81"/>
      <name val="Tahoma"/>
      <charset val="1"/>
    </font>
    <font>
      <b/>
      <sz val="14"/>
      <color theme="1"/>
      <name val="Arial"/>
      <family val="2"/>
    </font>
    <font>
      <vertAlign val="superscript"/>
      <sz val="14"/>
      <color theme="1"/>
      <name val="Arial"/>
      <family val="2"/>
    </font>
    <font>
      <vertAlign val="subscript"/>
      <sz val="14"/>
      <color theme="1"/>
      <name val="Arial"/>
      <family val="2"/>
    </font>
    <font>
      <sz val="14"/>
      <name val="Arial"/>
      <family val="2"/>
    </font>
    <font>
      <b/>
      <sz val="14"/>
      <name val="Arial"/>
      <family val="2"/>
    </font>
    <font>
      <sz val="11"/>
      <color indexed="81"/>
      <name val="Tahoma"/>
      <family val="2"/>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indexed="9"/>
        <bgColor indexed="64"/>
      </patternFill>
    </fill>
    <fill>
      <patternFill patternType="solid">
        <fgColor rgb="FF99FF99"/>
        <bgColor indexed="64"/>
      </patternFill>
    </fill>
    <fill>
      <patternFill patternType="solid">
        <fgColor theme="0"/>
        <bgColor indexed="64"/>
      </patternFill>
    </fill>
    <fill>
      <patternFill patternType="solid">
        <fgColor rgb="FFFFFF99"/>
        <bgColor indexed="64"/>
      </patternFill>
    </fill>
    <fill>
      <patternFill patternType="solid">
        <fgColor theme="0" tint="-0.49998474074526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4" fillId="0" borderId="0"/>
  </cellStyleXfs>
  <cellXfs count="86">
    <xf numFmtId="0" fontId="0" fillId="0" borderId="0" xfId="0"/>
    <xf numFmtId="1" fontId="0" fillId="0" borderId="0" xfId="0" applyNumberFormat="1"/>
    <xf numFmtId="0" fontId="0" fillId="0" borderId="0" xfId="0" applyAlignment="1">
      <alignment horizontal="right"/>
    </xf>
    <xf numFmtId="0" fontId="2" fillId="2" borderId="0" xfId="1"/>
    <xf numFmtId="0" fontId="3" fillId="3" borderId="0" xfId="2"/>
    <xf numFmtId="1" fontId="4" fillId="4" borderId="0" xfId="0" applyNumberFormat="1" applyFont="1" applyFill="1" applyBorder="1" applyAlignment="1" applyProtection="1">
      <alignment horizontal="left"/>
    </xf>
    <xf numFmtId="1" fontId="4" fillId="4" borderId="0" xfId="0" applyNumberFormat="1" applyFont="1" applyFill="1" applyProtection="1"/>
    <xf numFmtId="1" fontId="4" fillId="4" borderId="0" xfId="0" applyNumberFormat="1" applyFont="1" applyFill="1" applyBorder="1" applyAlignment="1" applyProtection="1">
      <alignment horizontal="right"/>
    </xf>
    <xf numFmtId="1" fontId="4" fillId="4" borderId="0" xfId="0" applyNumberFormat="1" applyFont="1" applyFill="1" applyAlignment="1" applyProtection="1">
      <alignment horizontal="center"/>
      <protection locked="0"/>
    </xf>
    <xf numFmtId="9" fontId="0" fillId="0" borderId="0" xfId="0" quotePrefix="1" applyNumberFormat="1"/>
    <xf numFmtId="0" fontId="0" fillId="0" borderId="0" xfId="0" quotePrefix="1"/>
    <xf numFmtId="0" fontId="0" fillId="0" borderId="0" xfId="0" applyBorder="1"/>
    <xf numFmtId="1" fontId="0" fillId="6" borderId="0" xfId="0" applyNumberFormat="1" applyFill="1"/>
    <xf numFmtId="0" fontId="0" fillId="0" borderId="0" xfId="0" applyAlignment="1">
      <alignment horizontal="left"/>
    </xf>
    <xf numFmtId="0" fontId="0" fillId="0" borderId="0" xfId="0" applyBorder="1" applyAlignment="1">
      <alignment horizontal="right"/>
    </xf>
    <xf numFmtId="0" fontId="4" fillId="4" borderId="0" xfId="3" applyFont="1" applyFill="1" applyAlignment="1">
      <alignment horizontal="left" vertical="top"/>
    </xf>
    <xf numFmtId="0" fontId="4" fillId="4" borderId="0" xfId="3" applyFont="1" applyFill="1" applyAlignment="1">
      <alignment horizontal="left" vertical="top" wrapText="1"/>
    </xf>
    <xf numFmtId="0" fontId="0" fillId="0" borderId="0" xfId="0" applyProtection="1">
      <protection hidden="1"/>
    </xf>
    <xf numFmtId="1" fontId="7" fillId="7"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0" fillId="6" borderId="0" xfId="0" applyFill="1"/>
    <xf numFmtId="0" fontId="0" fillId="0" borderId="5" xfId="0" applyBorder="1"/>
    <xf numFmtId="0" fontId="0" fillId="0" borderId="6" xfId="0" applyBorder="1"/>
    <xf numFmtId="0" fontId="0" fillId="0" borderId="7" xfId="0" applyBorder="1"/>
    <xf numFmtId="0" fontId="7" fillId="0" borderId="0" xfId="0" applyFont="1"/>
    <xf numFmtId="0" fontId="0" fillId="0" borderId="16" xfId="0" applyBorder="1"/>
    <xf numFmtId="0" fontId="0" fillId="0" borderId="9" xfId="0" applyBorder="1"/>
    <xf numFmtId="0" fontId="0" fillId="0" borderId="10" xfId="0" applyBorder="1"/>
    <xf numFmtId="0" fontId="0" fillId="0" borderId="11" xfId="0" applyBorder="1"/>
    <xf numFmtId="0" fontId="7" fillId="0" borderId="15" xfId="0" applyFont="1" applyBorder="1"/>
    <xf numFmtId="0" fontId="10" fillId="0" borderId="0" xfId="0" applyFont="1" applyProtection="1">
      <protection hidden="1"/>
    </xf>
    <xf numFmtId="0" fontId="13" fillId="0" borderId="0" xfId="0" applyFont="1"/>
    <xf numFmtId="0" fontId="13" fillId="0" borderId="0" xfId="0" applyFont="1" applyAlignment="1">
      <alignment vertical="top"/>
    </xf>
    <xf numFmtId="1" fontId="7" fillId="5" borderId="1" xfId="0" applyNumberFormat="1" applyFont="1" applyFill="1" applyBorder="1" applyAlignment="1" applyProtection="1">
      <alignment horizontal="center" vertical="center"/>
      <protection locked="0"/>
    </xf>
    <xf numFmtId="0" fontId="14" fillId="0" borderId="0" xfId="0" applyFont="1"/>
    <xf numFmtId="0" fontId="15" fillId="0" borderId="0" xfId="0" applyFont="1" applyBorder="1"/>
    <xf numFmtId="0" fontId="15" fillId="0" borderId="0" xfId="0" applyFont="1"/>
    <xf numFmtId="0" fontId="15" fillId="0" borderId="0" xfId="0" applyFont="1" applyFill="1" applyBorder="1"/>
    <xf numFmtId="0" fontId="0" fillId="0" borderId="0" xfId="0" applyFont="1"/>
    <xf numFmtId="0" fontId="0" fillId="5" borderId="1" xfId="0" applyFill="1" applyBorder="1"/>
    <xf numFmtId="9" fontId="0" fillId="0" borderId="0" xfId="0" applyNumberFormat="1"/>
    <xf numFmtId="0" fontId="17" fillId="0" borderId="0" xfId="0" applyFont="1"/>
    <xf numFmtId="0" fontId="18" fillId="0" borderId="0" xfId="0" applyFont="1" applyAlignment="1">
      <alignment horizontal="right"/>
    </xf>
    <xf numFmtId="0" fontId="18" fillId="0" borderId="0" xfId="0" applyFont="1" applyAlignment="1">
      <alignment horizontal="center"/>
    </xf>
    <xf numFmtId="0" fontId="18" fillId="0" borderId="0" xfId="0" applyFont="1"/>
    <xf numFmtId="0" fontId="0" fillId="6" borderId="0" xfId="0" applyFont="1" applyFill="1" applyBorder="1"/>
    <xf numFmtId="0" fontId="0" fillId="6" borderId="0" xfId="0" applyFill="1" applyBorder="1" applyAlignment="1">
      <alignment horizontal="right"/>
    </xf>
    <xf numFmtId="1" fontId="7" fillId="6" borderId="0" xfId="0" applyNumberFormat="1" applyFont="1" applyFill="1" applyBorder="1" applyAlignment="1">
      <alignment horizontal="center" vertical="center"/>
    </xf>
    <xf numFmtId="9" fontId="7" fillId="6" borderId="0" xfId="0" applyNumberFormat="1" applyFont="1" applyFill="1" applyBorder="1" applyAlignment="1">
      <alignment horizontal="center" vertical="center"/>
    </xf>
    <xf numFmtId="0" fontId="0" fillId="6" borderId="0" xfId="0" applyFill="1" applyAlignment="1">
      <alignment horizontal="left"/>
    </xf>
    <xf numFmtId="0" fontId="0" fillId="6" borderId="0" xfId="0" applyFill="1" applyBorder="1"/>
    <xf numFmtId="0" fontId="0" fillId="6" borderId="0" xfId="0" applyFill="1" applyBorder="1" applyAlignment="1">
      <alignment horizontal="left"/>
    </xf>
    <xf numFmtId="9" fontId="0" fillId="6" borderId="0" xfId="0" applyNumberFormat="1" applyFont="1" applyFill="1" applyBorder="1" applyAlignment="1">
      <alignment horizontal="center" vertical="center"/>
    </xf>
    <xf numFmtId="0" fontId="0" fillId="0" borderId="0" xfId="0" applyNumberFormat="1"/>
    <xf numFmtId="0" fontId="4" fillId="6" borderId="0" xfId="3" applyFont="1" applyFill="1" applyAlignment="1">
      <alignment horizontal="left" vertical="top" wrapText="1"/>
    </xf>
    <xf numFmtId="0" fontId="0" fillId="6" borderId="8" xfId="0" applyFill="1" applyBorder="1"/>
    <xf numFmtId="0" fontId="0" fillId="6" borderId="13" xfId="0" applyFill="1" applyBorder="1"/>
    <xf numFmtId="164" fontId="0" fillId="6" borderId="8" xfId="0" applyNumberFormat="1" applyFill="1" applyBorder="1"/>
    <xf numFmtId="164" fontId="0" fillId="6" borderId="0" xfId="0" applyNumberFormat="1" applyFill="1" applyBorder="1"/>
    <xf numFmtId="164" fontId="0" fillId="6" borderId="4" xfId="0" applyNumberFormat="1" applyFill="1" applyBorder="1"/>
    <xf numFmtId="0" fontId="7" fillId="6" borderId="0" xfId="0" applyFont="1" applyFill="1" applyBorder="1"/>
    <xf numFmtId="2" fontId="0" fillId="6" borderId="0" xfId="0" applyNumberFormat="1" applyFill="1" applyBorder="1"/>
    <xf numFmtId="0" fontId="0" fillId="6" borderId="4" xfId="0" applyFill="1" applyBorder="1"/>
    <xf numFmtId="1" fontId="0" fillId="6" borderId="9" xfId="0" applyNumberFormat="1" applyFill="1" applyBorder="1"/>
    <xf numFmtId="1" fontId="0" fillId="6" borderId="10" xfId="0" applyNumberFormat="1" applyFill="1" applyBorder="1"/>
    <xf numFmtId="1" fontId="0" fillId="6" borderId="11" xfId="0" applyNumberFormat="1" applyFill="1" applyBorder="1"/>
    <xf numFmtId="0" fontId="0" fillId="6" borderId="9" xfId="0" applyFill="1" applyBorder="1"/>
    <xf numFmtId="0" fontId="0" fillId="6" borderId="10" xfId="0" applyFill="1" applyBorder="1"/>
    <xf numFmtId="0" fontId="0" fillId="6" borderId="14" xfId="0" applyFill="1" applyBorder="1"/>
    <xf numFmtId="0" fontId="0" fillId="6" borderId="17" xfId="0" applyFill="1" applyBorder="1"/>
    <xf numFmtId="0" fontId="0" fillId="6" borderId="12" xfId="0" applyFill="1" applyBorder="1" applyAlignment="1">
      <alignment horizontal="right"/>
    </xf>
    <xf numFmtId="0" fontId="15" fillId="0" borderId="0" xfId="0" applyFont="1" applyBorder="1" applyAlignment="1">
      <alignment horizontal="right"/>
    </xf>
    <xf numFmtId="1" fontId="21" fillId="7" borderId="1" xfId="0" applyNumberFormat="1" applyFont="1" applyFill="1" applyBorder="1" applyAlignment="1">
      <alignment horizontal="center" vertical="center"/>
    </xf>
    <xf numFmtId="3" fontId="21" fillId="7" borderId="1" xfId="0" applyNumberFormat="1" applyFont="1" applyFill="1" applyBorder="1" applyAlignment="1">
      <alignment horizontal="center" vertical="center"/>
    </xf>
    <xf numFmtId="0" fontId="15" fillId="0" borderId="3" xfId="0" applyFont="1" applyBorder="1"/>
    <xf numFmtId="0" fontId="15" fillId="0" borderId="0" xfId="0" applyFont="1" applyFill="1" applyBorder="1" applyAlignment="1">
      <alignment horizontal="right"/>
    </xf>
    <xf numFmtId="1" fontId="21" fillId="0" borderId="0" xfId="0" applyNumberFormat="1" applyFont="1" applyAlignment="1">
      <alignment horizontal="left"/>
    </xf>
    <xf numFmtId="3" fontId="21" fillId="7" borderId="2" xfId="0" applyNumberFormat="1" applyFont="1" applyFill="1" applyBorder="1" applyAlignment="1">
      <alignment horizontal="center" vertical="center"/>
    </xf>
    <xf numFmtId="0" fontId="24" fillId="4" borderId="0" xfId="3" applyFont="1" applyFill="1" applyAlignment="1">
      <alignment horizontal="left" vertical="top" wrapText="1"/>
    </xf>
    <xf numFmtId="0" fontId="0" fillId="8" borderId="0" xfId="0" applyFill="1"/>
    <xf numFmtId="1" fontId="0" fillId="8" borderId="0" xfId="0" applyNumberFormat="1" applyFill="1"/>
    <xf numFmtId="0" fontId="2" fillId="8" borderId="0" xfId="1" applyFill="1"/>
    <xf numFmtId="0" fontId="3" fillId="8" borderId="0" xfId="2" applyFill="1"/>
    <xf numFmtId="9" fontId="0" fillId="8" borderId="0" xfId="0" quotePrefix="1" applyNumberFormat="1" applyFill="1"/>
    <xf numFmtId="0" fontId="0" fillId="8" borderId="0" xfId="0" quotePrefix="1" applyFill="1"/>
    <xf numFmtId="9" fontId="0" fillId="8" borderId="0" xfId="0" applyNumberFormat="1" applyFill="1"/>
  </cellXfs>
  <cellStyles count="4">
    <cellStyle name="Good" xfId="1" builtinId="26"/>
    <cellStyle name="Neutral" xfId="2" builtinId="28"/>
    <cellStyle name="Normal" xfId="0" builtinId="0"/>
    <cellStyle name="Standaard_Afvalzorg MPM empty (ENG)" xfId="3"/>
  </cellStyles>
  <dxfs count="0"/>
  <tableStyles count="0" defaultTableStyle="TableStyleMedium9" defaultPivotStyle="PivotStyleLight16"/>
  <colors>
    <mruColors>
      <color rgb="FF99FF99"/>
      <color rgb="FFFFFF99"/>
      <color rgb="FF990000"/>
      <color rgb="FFFF5050"/>
      <color rgb="FFFFFF66"/>
      <color rgb="FF99FF33"/>
      <color rgb="FF33CC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Operational LFG generation</a:t>
            </a:r>
            <a:r>
              <a:rPr lang="en-GB" sz="2400" baseline="0"/>
              <a:t> </a:t>
            </a:r>
            <a:r>
              <a:rPr lang="en-GB" sz="2400"/>
              <a:t>estimate</a:t>
            </a:r>
          </a:p>
        </c:rich>
      </c:tx>
    </c:title>
    <c:plotArea>
      <c:layout>
        <c:manualLayout>
          <c:layoutTarget val="inner"/>
          <c:xMode val="edge"/>
          <c:yMode val="edge"/>
          <c:x val="0.11178834515481781"/>
          <c:y val="0.1130704597409198"/>
          <c:w val="0.8697619549500577"/>
          <c:h val="0.76694843789688127"/>
        </c:manualLayout>
      </c:layout>
      <c:barChart>
        <c:barDir val="col"/>
        <c:grouping val="clustered"/>
        <c:ser>
          <c:idx val="0"/>
          <c:order val="3"/>
          <c:tx>
            <c:v>Current Year</c:v>
          </c:tx>
          <c:cat>
            <c:numRef>
              <c:f>'Data inputs'!$V$18:$V$67</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'Data inputs'!$Z$18:$Z$67</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0478848"/>
        <c:axId val="90477312"/>
      </c:barChart>
      <c:lineChart>
        <c:grouping val="standard"/>
        <c:ser>
          <c:idx val="2"/>
          <c:order val="0"/>
          <c:tx>
            <c:strRef>
              <c:f>'Data inputs'!$X$17</c:f>
              <c:strCache>
                <c:ptCount val="1"/>
                <c:pt idx="0">
                  <c:v>+33%</c:v>
                </c:pt>
              </c:strCache>
            </c:strRef>
          </c:tx>
          <c:spPr>
            <a:ln>
              <a:solidFill>
                <a:srgbClr val="FF5050"/>
              </a:solidFill>
            </a:ln>
          </c:spPr>
          <c:marker>
            <c:symbol val="none"/>
          </c:marker>
          <c:cat>
            <c:numRef>
              <c:f>'Data inputs'!$V$18:$V$67</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'Data inputs'!$X$18:$X$67</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1"/>
          <c:order val="1"/>
          <c:tx>
            <c:strRef>
              <c:f>'Data inputs'!$W$17</c:f>
              <c:strCache>
                <c:ptCount val="1"/>
                <c:pt idx="0">
                  <c:v>Total LFG generated (m3 hr-1) (50% CH4)</c:v>
                </c:pt>
              </c:strCache>
            </c:strRef>
          </c:tx>
          <c:spPr>
            <a:ln w="38100">
              <a:solidFill>
                <a:srgbClr val="FF0000"/>
              </a:solidFill>
            </a:ln>
          </c:spPr>
          <c:marker>
            <c:symbol val="none"/>
          </c:marker>
          <c:cat>
            <c:numRef>
              <c:f>'Data inputs'!$V$18:$V$67</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'Data inputs'!$W$18:$W$67</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3"/>
          <c:order val="2"/>
          <c:tx>
            <c:strRef>
              <c:f>'Data inputs'!$Y$17</c:f>
              <c:strCache>
                <c:ptCount val="1"/>
                <c:pt idx="0">
                  <c:v>-33%</c:v>
                </c:pt>
              </c:strCache>
            </c:strRef>
          </c:tx>
          <c:spPr>
            <a:ln>
              <a:solidFill>
                <a:srgbClr val="FF5050"/>
              </a:solidFill>
            </a:ln>
          </c:spPr>
          <c:marker>
            <c:symbol val="none"/>
          </c:marker>
          <c:cat>
            <c:numRef>
              <c:f>'Data inputs'!$V$18:$V$67</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'Data inputs'!$Y$18:$Y$67</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marker val="1"/>
        <c:axId val="91025792"/>
        <c:axId val="91028096"/>
      </c:lineChart>
      <c:catAx>
        <c:axId val="91025792"/>
        <c:scaling>
          <c:orientation val="minMax"/>
        </c:scaling>
        <c:axPos val="b"/>
        <c:title>
          <c:tx>
            <c:rich>
              <a:bodyPr/>
              <a:lstStyle/>
              <a:p>
                <a:pPr>
                  <a:defRPr sz="1400" baseline="0"/>
                </a:pPr>
                <a:r>
                  <a:rPr lang="en-GB" sz="1400" b="1" i="0" baseline="0"/>
                  <a:t>Year</a:t>
                </a:r>
                <a:endParaRPr lang="en-GB" sz="1400" baseline="0"/>
              </a:p>
            </c:rich>
          </c:tx>
          <c:layout>
            <c:manualLayout>
              <c:xMode val="edge"/>
              <c:yMode val="edge"/>
              <c:x val="0.48278647463001356"/>
              <c:y val="0.94737885254496335"/>
            </c:manualLayout>
          </c:layout>
        </c:title>
        <c:numFmt formatCode="0" sourceLinked="1"/>
        <c:tickLblPos val="nextTo"/>
        <c:txPr>
          <a:bodyPr/>
          <a:lstStyle/>
          <a:p>
            <a:pPr>
              <a:defRPr sz="1400" baseline="0"/>
            </a:pPr>
            <a:endParaRPr lang="en-US"/>
          </a:p>
        </c:txPr>
        <c:crossAx val="91028096"/>
        <c:crosses val="autoZero"/>
        <c:auto val="1"/>
        <c:lblAlgn val="ctr"/>
        <c:lblOffset val="100"/>
        <c:tickLblSkip val="5"/>
      </c:catAx>
      <c:valAx>
        <c:axId val="91028096"/>
        <c:scaling>
          <c:orientation val="minMax"/>
        </c:scaling>
        <c:axPos val="l"/>
        <c:majorGridlines>
          <c:spPr>
            <a:ln>
              <a:solidFill>
                <a:sysClr val="window" lastClr="FFFFFF">
                  <a:lumMod val="75000"/>
                  <a:alpha val="40000"/>
                </a:sysClr>
              </a:solidFill>
            </a:ln>
          </c:spPr>
        </c:majorGridlines>
        <c:title>
          <c:tx>
            <c:rich>
              <a:bodyPr rot="-5400000" vert="horz"/>
              <a:lstStyle/>
              <a:p>
                <a:pPr>
                  <a:defRPr/>
                </a:pPr>
                <a:r>
                  <a:rPr lang="en-GB" sz="1400"/>
                  <a:t>Total LFG generated </a:t>
                </a:r>
                <a:r>
                  <a:rPr lang="en-GB" sz="1400">
                    <a:latin typeface="Calibri"/>
                    <a:cs typeface="Calibri"/>
                  </a:rPr>
                  <a:t/>
                </a:r>
                <a:br>
                  <a:rPr lang="en-GB" sz="1400">
                    <a:latin typeface="Calibri"/>
                    <a:cs typeface="Calibri"/>
                  </a:rPr>
                </a:br>
                <a:r>
                  <a:rPr lang="en-GB" sz="1400"/>
                  <a:t>(m</a:t>
                </a:r>
                <a:r>
                  <a:rPr lang="en-GB" sz="1400" baseline="30000"/>
                  <a:t>3</a:t>
                </a:r>
                <a:r>
                  <a:rPr lang="en-GB" sz="1400"/>
                  <a:t> hr</a:t>
                </a:r>
                <a:r>
                  <a:rPr lang="en-GB" sz="1400" baseline="30000"/>
                  <a:t>-1</a:t>
                </a:r>
                <a:r>
                  <a:rPr lang="en-GB" sz="1400"/>
                  <a:t>)</a:t>
                </a:r>
              </a:p>
            </c:rich>
          </c:tx>
          <c:layout>
            <c:manualLayout>
              <c:xMode val="edge"/>
              <c:yMode val="edge"/>
              <c:x val="1.1584444878169961E-2"/>
              <c:y val="0.31878236123562398"/>
            </c:manualLayout>
          </c:layout>
        </c:title>
        <c:numFmt formatCode="0" sourceLinked="1"/>
        <c:tickLblPos val="nextTo"/>
        <c:txPr>
          <a:bodyPr/>
          <a:lstStyle/>
          <a:p>
            <a:pPr>
              <a:defRPr sz="1400" baseline="0"/>
            </a:pPr>
            <a:endParaRPr lang="en-US"/>
          </a:p>
        </c:txPr>
        <c:crossAx val="91025792"/>
        <c:crosses val="autoZero"/>
        <c:crossBetween val="between"/>
      </c:valAx>
      <c:valAx>
        <c:axId val="90477312"/>
        <c:scaling>
          <c:orientation val="minMax"/>
          <c:max val="1"/>
          <c:min val="0"/>
        </c:scaling>
        <c:axPos val="r"/>
        <c:numFmt formatCode="0" sourceLinked="1"/>
        <c:majorTickMark val="none"/>
        <c:tickLblPos val="none"/>
        <c:crossAx val="90478848"/>
        <c:crosses val="max"/>
        <c:crossBetween val="between"/>
      </c:valAx>
      <c:catAx>
        <c:axId val="90478848"/>
        <c:scaling>
          <c:orientation val="minMax"/>
        </c:scaling>
        <c:delete val="1"/>
        <c:axPos val="b"/>
        <c:numFmt formatCode="0" sourceLinked="1"/>
        <c:tickLblPos val="none"/>
        <c:crossAx val="90477312"/>
        <c:crosses val="autoZero"/>
        <c:auto val="1"/>
        <c:lblAlgn val="ctr"/>
        <c:lblOffset val="100"/>
      </c:catAx>
    </c:plotArea>
    <c:legend>
      <c:legendPos val="r"/>
      <c:layout>
        <c:manualLayout>
          <c:xMode val="edge"/>
          <c:yMode val="edge"/>
          <c:x val="0.61879757914053413"/>
          <c:y val="0.15337965042462171"/>
          <c:w val="0.3194382361856184"/>
          <c:h val="0.42521185523703492"/>
        </c:manualLayout>
      </c:layout>
      <c:overlay val="1"/>
      <c:spPr>
        <a:solidFill>
          <a:schemeClr val="bg1"/>
        </a:solidFill>
        <a:ln>
          <a:solidFill>
            <a:schemeClr val="bg1">
              <a:lumMod val="75000"/>
            </a:schemeClr>
          </a:solidFill>
        </a:ln>
      </c:spPr>
      <c:txPr>
        <a:bodyPr/>
        <a:lstStyle/>
        <a:p>
          <a:pPr>
            <a:defRPr sz="1600" baseline="0"/>
          </a:pPr>
          <a:endParaRPr lang="en-US"/>
        </a:p>
      </c:txPr>
    </c:legend>
    <c:plotVisOnly val="1"/>
    <c:dispBlanksAs val="gap"/>
  </c:chart>
  <c:printSettings>
    <c:headerFooter/>
    <c:pageMargins b="0.75000000000000389" l="0.70000000000000062" r="0.70000000000000062" t="0.750000000000003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Annual GHG source estimate</a:t>
            </a:r>
          </a:p>
        </c:rich>
      </c:tx>
    </c:title>
    <c:plotArea>
      <c:layout>
        <c:manualLayout>
          <c:layoutTarget val="inner"/>
          <c:xMode val="edge"/>
          <c:yMode val="edge"/>
          <c:x val="0.15030511064261601"/>
          <c:y val="0.13335050932486187"/>
          <c:w val="0.8227871214450545"/>
          <c:h val="0.76487039823184777"/>
        </c:manualLayout>
      </c:layout>
      <c:areaChart>
        <c:grouping val="standard"/>
        <c:ser>
          <c:idx val="5"/>
          <c:order val="0"/>
          <c:tx>
            <c:strRef>
              <c:f>'Strumpshaw example'!$AC$16</c:f>
              <c:strCache>
                <c:ptCount val="1"/>
                <c:pt idx="0">
                  <c:v>Total GHG potential (tCO2e yr-1) (from CH4)</c:v>
                </c:pt>
              </c:strCache>
            </c:strRef>
          </c:tx>
          <c:spPr>
            <a:solidFill>
              <a:srgbClr val="FF0000"/>
            </a:solidFill>
            <a:ln>
              <a:noFill/>
            </a:ln>
          </c:spPr>
          <c:cat>
            <c:numRef>
              <c:f>'Strumpshaw example'!$V$17:$V$66</c:f>
              <c:numCache>
                <c:formatCode>0</c:formatCode>
                <c:ptCount val="50"/>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pt idx="35">
                  <c:v>2023</c:v>
                </c:pt>
                <c:pt idx="36">
                  <c:v>2024</c:v>
                </c:pt>
                <c:pt idx="37">
                  <c:v>2025</c:v>
                </c:pt>
                <c:pt idx="38">
                  <c:v>2026</c:v>
                </c:pt>
                <c:pt idx="39">
                  <c:v>2027</c:v>
                </c:pt>
                <c:pt idx="40">
                  <c:v>2028</c:v>
                </c:pt>
                <c:pt idx="41">
                  <c:v>2029</c:v>
                </c:pt>
                <c:pt idx="42">
                  <c:v>2030</c:v>
                </c:pt>
                <c:pt idx="43">
                  <c:v>2031</c:v>
                </c:pt>
                <c:pt idx="44">
                  <c:v>2032</c:v>
                </c:pt>
                <c:pt idx="45">
                  <c:v>2033</c:v>
                </c:pt>
                <c:pt idx="46">
                  <c:v>2034</c:v>
                </c:pt>
                <c:pt idx="47">
                  <c:v>2035</c:v>
                </c:pt>
                <c:pt idx="48">
                  <c:v>2036</c:v>
                </c:pt>
                <c:pt idx="49">
                  <c:v>2037</c:v>
                </c:pt>
              </c:numCache>
            </c:numRef>
          </c:cat>
          <c:val>
            <c:numRef>
              <c:f>'Strumpshaw example'!$AC$17:$AC$66</c:f>
              <c:numCache>
                <c:formatCode>0</c:formatCode>
                <c:ptCount val="50"/>
                <c:pt idx="0">
                  <c:v>78863.575983581497</c:v>
                </c:pt>
                <c:pt idx="1">
                  <c:v>77341.247354736435</c:v>
                </c:pt>
                <c:pt idx="2">
                  <c:v>68818.541052703775</c:v>
                </c:pt>
                <c:pt idx="3">
                  <c:v>61810.327486266935</c:v>
                </c:pt>
                <c:pt idx="4">
                  <c:v>56042.583674011359</c:v>
                </c:pt>
                <c:pt idx="5">
                  <c:v>51088.803740844625</c:v>
                </c:pt>
                <c:pt idx="6">
                  <c:v>46718.606443634068</c:v>
                </c:pt>
                <c:pt idx="7">
                  <c:v>42801.171245498641</c:v>
                </c:pt>
                <c:pt idx="8">
                  <c:v>39256.883078384562</c:v>
                </c:pt>
                <c:pt idx="9">
                  <c:v>36033.014156799392</c:v>
                </c:pt>
                <c:pt idx="10">
                  <c:v>33091.467683715804</c:v>
                </c:pt>
                <c:pt idx="11">
                  <c:v>30402.518108367909</c:v>
                </c:pt>
                <c:pt idx="12">
                  <c:v>27941.607980575573</c:v>
                </c:pt>
                <c:pt idx="13">
                  <c:v>25687.625250549325</c:v>
                </c:pt>
                <c:pt idx="14">
                  <c:v>23621.998552207951</c:v>
                </c:pt>
                <c:pt idx="15">
                  <c:v>21728.128951377883</c:v>
                </c:pt>
                <c:pt idx="16">
                  <c:v>19991.068434906003</c:v>
                </c:pt>
                <c:pt idx="17">
                  <c:v>18397.283637542736</c:v>
                </c:pt>
                <c:pt idx="18">
                  <c:v>16934.49284339905</c:v>
                </c:pt>
                <c:pt idx="19">
                  <c:v>15591.517941398619</c:v>
                </c:pt>
                <c:pt idx="20">
                  <c:v>14358.18722431182</c:v>
                </c:pt>
                <c:pt idx="21">
                  <c:v>13225.227719993591</c:v>
                </c:pt>
                <c:pt idx="22">
                  <c:v>12184.183692111968</c:v>
                </c:pt>
                <c:pt idx="23">
                  <c:v>11227.342617874136</c:v>
                </c:pt>
                <c:pt idx="24">
                  <c:v>10347.663408851633</c:v>
                </c:pt>
                <c:pt idx="25">
                  <c:v>9538.7173427009639</c:v>
                </c:pt>
                <c:pt idx="26">
                  <c:v>8794.6319856834343</c:v>
                </c:pt>
                <c:pt idx="27">
                  <c:v>8110.0403490829503</c:v>
                </c:pt>
                <c:pt idx="28">
                  <c:v>7480.0367749214092</c:v>
                </c:pt>
                <c:pt idx="29">
                  <c:v>6900.1343170738064</c:v>
                </c:pt>
                <c:pt idx="30">
                  <c:v>6366.2295993805055</c:v>
                </c:pt>
                <c:pt idx="31">
                  <c:v>5874.5658045101172</c:v>
                </c:pt>
                <c:pt idx="32">
                  <c:v>5421.7053829193183</c:v>
                </c:pt>
                <c:pt idx="33">
                  <c:v>5004.4990233135104</c:v>
                </c:pt>
                <c:pt idx="34">
                  <c:v>4620.0628478050121</c:v>
                </c:pt>
                <c:pt idx="35">
                  <c:v>4265.7529901218322</c:v>
                </c:pt>
                <c:pt idx="36">
                  <c:v>3939.1469031143088</c:v>
                </c:pt>
                <c:pt idx="37">
                  <c:v>3638.0224231624447</c:v>
                </c:pt>
                <c:pt idx="38">
                  <c:v>3360.3420684814569</c:v>
                </c:pt>
                <c:pt idx="39">
                  <c:v>3104.2360289525991</c:v>
                </c:pt>
                <c:pt idx="40">
                  <c:v>2867.9881467533123</c:v>
                </c:pt>
                <c:pt idx="41">
                  <c:v>2650.0228316116322</c:v>
                </c:pt>
                <c:pt idx="42">
                  <c:v>2448.8934714603429</c:v>
                </c:pt>
                <c:pt idx="43">
                  <c:v>2263.2712169408805</c:v>
                </c:pt>
                <c:pt idx="44">
                  <c:v>2091.9347005319592</c:v>
                </c:pt>
                <c:pt idx="45">
                  <c:v>1933.7618118524556</c:v>
                </c:pt>
                <c:pt idx="46">
                  <c:v>1787.7205383396131</c:v>
                </c:pt>
                <c:pt idx="47">
                  <c:v>1652.8624228763574</c:v>
                </c:pt>
                <c:pt idx="48">
                  <c:v>1528.3146194815647</c:v>
                </c:pt>
                <c:pt idx="49">
                  <c:v>1413.2743790245067</c:v>
                </c:pt>
              </c:numCache>
            </c:numRef>
          </c:val>
        </c:ser>
        <c:axId val="94384128"/>
        <c:axId val="94386048"/>
      </c:areaChart>
      <c:barChart>
        <c:barDir val="col"/>
        <c:grouping val="clustered"/>
        <c:ser>
          <c:idx val="0"/>
          <c:order val="1"/>
          <c:tx>
            <c:v>Current Year</c:v>
          </c:tx>
          <c:spPr>
            <a:ln w="25400">
              <a:noFill/>
            </a:ln>
          </c:spPr>
          <c:cat>
            <c:numRef>
              <c:f>'Strumpshaw example'!$V$17:$V$66</c:f>
              <c:numCache>
                <c:formatCode>0</c:formatCode>
                <c:ptCount val="50"/>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pt idx="35">
                  <c:v>2023</c:v>
                </c:pt>
                <c:pt idx="36">
                  <c:v>2024</c:v>
                </c:pt>
                <c:pt idx="37">
                  <c:v>2025</c:v>
                </c:pt>
                <c:pt idx="38">
                  <c:v>2026</c:v>
                </c:pt>
                <c:pt idx="39">
                  <c:v>2027</c:v>
                </c:pt>
                <c:pt idx="40">
                  <c:v>2028</c:v>
                </c:pt>
                <c:pt idx="41">
                  <c:v>2029</c:v>
                </c:pt>
                <c:pt idx="42">
                  <c:v>2030</c:v>
                </c:pt>
                <c:pt idx="43">
                  <c:v>2031</c:v>
                </c:pt>
                <c:pt idx="44">
                  <c:v>2032</c:v>
                </c:pt>
                <c:pt idx="45">
                  <c:v>2033</c:v>
                </c:pt>
                <c:pt idx="46">
                  <c:v>2034</c:v>
                </c:pt>
                <c:pt idx="47">
                  <c:v>2035</c:v>
                </c:pt>
                <c:pt idx="48">
                  <c:v>2036</c:v>
                </c:pt>
                <c:pt idx="49">
                  <c:v>2037</c:v>
                </c:pt>
              </c:numCache>
            </c:numRef>
          </c:cat>
          <c:val>
            <c:numRef>
              <c:f>'Strumpshaw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4389760"/>
        <c:axId val="94388224"/>
      </c:barChart>
      <c:catAx>
        <c:axId val="94384128"/>
        <c:scaling>
          <c:orientation val="minMax"/>
        </c:scaling>
        <c:axPos val="b"/>
        <c:title>
          <c:tx>
            <c:rich>
              <a:bodyPr/>
              <a:lstStyle/>
              <a:p>
                <a:pPr>
                  <a:defRPr sz="1400" baseline="0"/>
                </a:pPr>
                <a:r>
                  <a:rPr lang="en-GB" sz="1400" baseline="0"/>
                  <a:t>Year</a:t>
                </a:r>
              </a:p>
            </c:rich>
          </c:tx>
          <c:layout>
            <c:manualLayout>
              <c:xMode val="edge"/>
              <c:yMode val="edge"/>
              <c:x val="0.48018054135190491"/>
              <c:y val="0.94755056580749697"/>
            </c:manualLayout>
          </c:layout>
        </c:title>
        <c:numFmt formatCode="0" sourceLinked="1"/>
        <c:tickLblPos val="nextTo"/>
        <c:txPr>
          <a:bodyPr/>
          <a:lstStyle/>
          <a:p>
            <a:pPr>
              <a:defRPr sz="1400" baseline="0"/>
            </a:pPr>
            <a:endParaRPr lang="en-US"/>
          </a:p>
        </c:txPr>
        <c:crossAx val="94386048"/>
        <c:crosses val="autoZero"/>
        <c:auto val="1"/>
        <c:lblAlgn val="ctr"/>
        <c:lblOffset val="100"/>
        <c:tickLblSkip val="5"/>
      </c:catAx>
      <c:valAx>
        <c:axId val="94386048"/>
        <c:scaling>
          <c:orientation val="minMax"/>
          <c:min val="0"/>
        </c:scaling>
        <c:axPos val="l"/>
        <c:majorGridlines>
          <c:spPr>
            <a:ln>
              <a:solidFill>
                <a:sysClr val="window" lastClr="FFFFFF">
                  <a:lumMod val="75000"/>
                  <a:alpha val="40000"/>
                </a:sysClr>
              </a:solidFill>
            </a:ln>
          </c:spPr>
        </c:majorGridlines>
        <c:title>
          <c:tx>
            <c:rich>
              <a:bodyPr rot="-5400000" vert="horz"/>
              <a:lstStyle/>
              <a:p>
                <a:pPr>
                  <a:defRPr sz="1400"/>
                </a:pPr>
                <a:r>
                  <a:rPr lang="en-GB" sz="1400"/>
                  <a:t>Total  GHG potential </a:t>
                </a:r>
                <a:br>
                  <a:rPr lang="en-GB" sz="1400"/>
                </a:br>
                <a:r>
                  <a:rPr lang="en-GB" sz="1400"/>
                  <a:t>(tCO</a:t>
                </a:r>
                <a:r>
                  <a:rPr lang="en-GB" sz="1400" baseline="-25000"/>
                  <a:t>2</a:t>
                </a:r>
                <a:r>
                  <a:rPr lang="en-GB" sz="1400"/>
                  <a:t>e yr</a:t>
                </a:r>
                <a:r>
                  <a:rPr lang="en-GB" sz="1400" baseline="30000"/>
                  <a:t>-1</a:t>
                </a:r>
                <a:r>
                  <a:rPr lang="en-GB" sz="1400"/>
                  <a:t>)</a:t>
                </a:r>
              </a:p>
            </c:rich>
          </c:tx>
          <c:layout>
            <c:manualLayout>
              <c:xMode val="edge"/>
              <c:yMode val="edge"/>
              <c:x val="2.3311609436634399E-2"/>
              <c:y val="0.35572363631559945"/>
            </c:manualLayout>
          </c:layout>
        </c:title>
        <c:numFmt formatCode="#,##0" sourceLinked="0"/>
        <c:tickLblPos val="nextTo"/>
        <c:txPr>
          <a:bodyPr/>
          <a:lstStyle/>
          <a:p>
            <a:pPr>
              <a:defRPr sz="1400" baseline="0"/>
            </a:pPr>
            <a:endParaRPr lang="en-US"/>
          </a:p>
        </c:txPr>
        <c:crossAx val="94384128"/>
        <c:crosses val="autoZero"/>
        <c:crossBetween val="midCat"/>
      </c:valAx>
      <c:valAx>
        <c:axId val="94388224"/>
        <c:scaling>
          <c:orientation val="minMax"/>
          <c:max val="1"/>
          <c:min val="0"/>
        </c:scaling>
        <c:axPos val="r"/>
        <c:numFmt formatCode="0" sourceLinked="1"/>
        <c:majorTickMark val="none"/>
        <c:tickLblPos val="none"/>
        <c:crossAx val="94389760"/>
        <c:crosses val="max"/>
        <c:crossBetween val="between"/>
      </c:valAx>
      <c:catAx>
        <c:axId val="94389760"/>
        <c:scaling>
          <c:orientation val="minMax"/>
        </c:scaling>
        <c:delete val="1"/>
        <c:axPos val="b"/>
        <c:numFmt formatCode="0" sourceLinked="1"/>
        <c:tickLblPos val="none"/>
        <c:crossAx val="94388224"/>
        <c:crosses val="autoZero"/>
        <c:auto val="1"/>
        <c:lblAlgn val="ctr"/>
        <c:lblOffset val="100"/>
      </c:catAx>
    </c:plotArea>
    <c:legend>
      <c:legendPos val="r"/>
      <c:layout>
        <c:manualLayout>
          <c:xMode val="edge"/>
          <c:yMode val="edge"/>
          <c:x val="0.67706832315158905"/>
          <c:y val="0.15808321095138891"/>
          <c:w val="0.28548996082514289"/>
          <c:h val="0.27613333248017624"/>
        </c:manualLayout>
      </c:layout>
      <c:overlay val="1"/>
      <c:spPr>
        <a:solidFill>
          <a:sysClr val="window" lastClr="FFFFFF"/>
        </a:solidFill>
        <a:ln>
          <a:solidFill>
            <a:sysClr val="window" lastClr="FFFFFF">
              <a:lumMod val="75000"/>
            </a:sysClr>
          </a:solidFill>
        </a:ln>
      </c:spPr>
      <c:txPr>
        <a:bodyPr/>
        <a:lstStyle/>
        <a:p>
          <a:pPr>
            <a:defRPr sz="1600" baseline="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Operational LFG generation</a:t>
            </a:r>
            <a:r>
              <a:rPr lang="en-GB" sz="2400" baseline="0"/>
              <a:t> </a:t>
            </a:r>
            <a:r>
              <a:rPr lang="en-GB" sz="2400"/>
              <a:t>estimate</a:t>
            </a:r>
          </a:p>
        </c:rich>
      </c:tx>
    </c:title>
    <c:plotArea>
      <c:layout>
        <c:manualLayout>
          <c:layoutTarget val="inner"/>
          <c:xMode val="edge"/>
          <c:yMode val="edge"/>
          <c:x val="0.11178834515481781"/>
          <c:y val="0.11307045974091984"/>
          <c:w val="0.8697619549500577"/>
          <c:h val="0.76694843789688183"/>
        </c:manualLayout>
      </c:layout>
      <c:barChart>
        <c:barDir val="col"/>
        <c:grouping val="clustered"/>
        <c:ser>
          <c:idx val="0"/>
          <c:order val="3"/>
          <c:tx>
            <c:v>Current Year</c:v>
          </c:tx>
          <c:cat>
            <c:numRef>
              <c:f>'Maesbury Road example'!$V$17:$V$66</c:f>
              <c:numCache>
                <c:formatCode>0</c:formatCode>
                <c:ptCount val="5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numCache>
            </c:numRef>
          </c:cat>
          <c:val>
            <c:numRef>
              <c:f>'Maesbury Road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3856512"/>
        <c:axId val="94493696"/>
      </c:barChart>
      <c:lineChart>
        <c:grouping val="standard"/>
        <c:ser>
          <c:idx val="2"/>
          <c:order val="0"/>
          <c:tx>
            <c:strRef>
              <c:f>'Maesbury Road example'!$X$16</c:f>
              <c:strCache>
                <c:ptCount val="1"/>
                <c:pt idx="0">
                  <c:v>+33%</c:v>
                </c:pt>
              </c:strCache>
            </c:strRef>
          </c:tx>
          <c:spPr>
            <a:ln>
              <a:solidFill>
                <a:srgbClr val="FF5050"/>
              </a:solidFill>
            </a:ln>
          </c:spPr>
          <c:marker>
            <c:symbol val="none"/>
          </c:marker>
          <c:cat>
            <c:numRef>
              <c:f>'Maesbury Road example'!$V$17:$V$66</c:f>
              <c:numCache>
                <c:formatCode>0</c:formatCode>
                <c:ptCount val="5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numCache>
            </c:numRef>
          </c:cat>
          <c:val>
            <c:numRef>
              <c:f>'Maesbury Road example'!$X$17:$X$66</c:f>
              <c:numCache>
                <c:formatCode>0</c:formatCode>
                <c:ptCount val="50"/>
                <c:pt idx="0">
                  <c:v>1605.3961285400385</c:v>
                </c:pt>
                <c:pt idx="1">
                  <c:v>1574.4066577148462</c:v>
                </c:pt>
                <c:pt idx="2">
                  <c:v>1400.9131338500963</c:v>
                </c:pt>
                <c:pt idx="3">
                  <c:v>1258.2495684814423</c:v>
                </c:pt>
                <c:pt idx="4">
                  <c:v>1140.8377789306667</c:v>
                </c:pt>
                <c:pt idx="5">
                  <c:v>1039.9955456542948</c:v>
                </c:pt>
                <c:pt idx="6">
                  <c:v>951.03308441162187</c:v>
                </c:pt>
                <c:pt idx="7">
                  <c:v>871.28733078002892</c:v>
                </c:pt>
                <c:pt idx="8">
                  <c:v>799.1375907897982</c:v>
                </c:pt>
                <c:pt idx="9">
                  <c:v>733.51050476074363</c:v>
                </c:pt>
                <c:pt idx="10">
                  <c:v>673.630550537109</c:v>
                </c:pt>
                <c:pt idx="11">
                  <c:v>618.89261627197243</c:v>
                </c:pt>
                <c:pt idx="12">
                  <c:v>568.79679519653337</c:v>
                </c:pt>
                <c:pt idx="13">
                  <c:v>522.91331726074236</c:v>
                </c:pt>
                <c:pt idx="14">
                  <c:v>480.86413215637219</c:v>
                </c:pt>
                <c:pt idx="15">
                  <c:v>442.31134162902856</c:v>
                </c:pt>
                <c:pt idx="16">
                  <c:v>406.95065460205063</c:v>
                </c:pt>
                <c:pt idx="17">
                  <c:v>374.50657745361355</c:v>
                </c:pt>
                <c:pt idx="18">
                  <c:v>344.72909591674812</c:v>
                </c:pt>
                <c:pt idx="19">
                  <c:v>317.39066139221188</c:v>
                </c:pt>
                <c:pt idx="20">
                  <c:v>292.28421226501445</c:v>
                </c:pt>
                <c:pt idx="21">
                  <c:v>269.22098213195801</c:v>
                </c:pt>
                <c:pt idx="22">
                  <c:v>248.02884075164792</c:v>
                </c:pt>
                <c:pt idx="23">
                  <c:v>228.55078720092754</c:v>
                </c:pt>
                <c:pt idx="24">
                  <c:v>210.64348869323752</c:v>
                </c:pt>
                <c:pt idx="25">
                  <c:v>194.17607814788832</c:v>
                </c:pt>
                <c:pt idx="26">
                  <c:v>179.0290126419066</c:v>
                </c:pt>
                <c:pt idx="27">
                  <c:v>165.09303840637213</c:v>
                </c:pt>
                <c:pt idx="28">
                  <c:v>152.26829280853255</c:v>
                </c:pt>
                <c:pt idx="29">
                  <c:v>140.46343677520721</c:v>
                </c:pt>
                <c:pt idx="30">
                  <c:v>129.59493942260769</c:v>
                </c:pt>
                <c:pt idx="31">
                  <c:v>119.58632463455201</c:v>
                </c:pt>
                <c:pt idx="32">
                  <c:v>110.36761550903334</c:v>
                </c:pt>
                <c:pt idx="33">
                  <c:v>101.87470270156837</c:v>
                </c:pt>
                <c:pt idx="34">
                  <c:v>94.048880195617471</c:v>
                </c:pt>
                <c:pt idx="35">
                  <c:v>86.836327800750567</c:v>
                </c:pt>
                <c:pt idx="36">
                  <c:v>80.187730636596484</c:v>
                </c:pt>
                <c:pt idx="37">
                  <c:v>74.057852954864188</c:v>
                </c:pt>
                <c:pt idx="38">
                  <c:v>68.405218505859622</c:v>
                </c:pt>
                <c:pt idx="39">
                  <c:v>63.191764268875133</c:v>
                </c:pt>
                <c:pt idx="40">
                  <c:v>58.382555065155053</c:v>
                </c:pt>
                <c:pt idx="41">
                  <c:v>53.94551719665526</c:v>
                </c:pt>
                <c:pt idx="42">
                  <c:v>49.85120252609255</c:v>
                </c:pt>
                <c:pt idx="43">
                  <c:v>46.072560167312645</c:v>
                </c:pt>
                <c:pt idx="44">
                  <c:v>42.584727201461781</c:v>
                </c:pt>
                <c:pt idx="45">
                  <c:v>39.364861249923713</c:v>
                </c:pt>
                <c:pt idx="46">
                  <c:v>36.391954021453834</c:v>
                </c:pt>
                <c:pt idx="47">
                  <c:v>33.646698131561266</c:v>
                </c:pt>
                <c:pt idx="48">
                  <c:v>31.111325383186365</c:v>
                </c:pt>
                <c:pt idx="49">
                  <c:v>28.769494514465357</c:v>
                </c:pt>
              </c:numCache>
            </c:numRef>
          </c:val>
        </c:ser>
        <c:ser>
          <c:idx val="1"/>
          <c:order val="1"/>
          <c:tx>
            <c:strRef>
              <c:f>'Maesbury Road example'!$W$16</c:f>
              <c:strCache>
                <c:ptCount val="1"/>
                <c:pt idx="0">
                  <c:v>Total LFG generated (m3 hr-1) (50% CH4)</c:v>
                </c:pt>
              </c:strCache>
            </c:strRef>
          </c:tx>
          <c:spPr>
            <a:ln w="38100">
              <a:solidFill>
                <a:srgbClr val="FF0000"/>
              </a:solidFill>
            </a:ln>
          </c:spPr>
          <c:marker>
            <c:symbol val="none"/>
          </c:marker>
          <c:cat>
            <c:numRef>
              <c:f>'Maesbury Road example'!$V$17:$V$66</c:f>
              <c:numCache>
                <c:formatCode>0</c:formatCode>
                <c:ptCount val="5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numCache>
            </c:numRef>
          </c:cat>
          <c:val>
            <c:numRef>
              <c:f>'Maesbury Road example'!$W$17:$W$66</c:f>
              <c:numCache>
                <c:formatCode>0</c:formatCode>
                <c:ptCount val="50"/>
                <c:pt idx="0">
                  <c:v>1207.0647583007808</c:v>
                </c:pt>
                <c:pt idx="1">
                  <c:v>1183.7644042968768</c:v>
                </c:pt>
                <c:pt idx="2">
                  <c:v>1053.318145751952</c:v>
                </c:pt>
                <c:pt idx="3">
                  <c:v>946.05230712890398</c:v>
                </c:pt>
                <c:pt idx="4">
                  <c:v>857.77276611328318</c:v>
                </c:pt>
                <c:pt idx="5">
                  <c:v>781.95153808593591</c:v>
                </c:pt>
                <c:pt idx="6">
                  <c:v>715.06246948242244</c:v>
                </c:pt>
                <c:pt idx="7">
                  <c:v>655.1032562255856</c:v>
                </c:pt>
                <c:pt idx="8">
                  <c:v>600.85533142090082</c:v>
                </c:pt>
                <c:pt idx="9">
                  <c:v>551.51165771484477</c:v>
                </c:pt>
                <c:pt idx="10">
                  <c:v>506.48913574218722</c:v>
                </c:pt>
                <c:pt idx="11">
                  <c:v>465.3327941894529</c:v>
                </c:pt>
                <c:pt idx="12">
                  <c:v>427.66676330566418</c:v>
                </c:pt>
                <c:pt idx="13">
                  <c:v>393.16790771484386</c:v>
                </c:pt>
                <c:pt idx="14">
                  <c:v>361.55197906494146</c:v>
                </c:pt>
                <c:pt idx="15">
                  <c:v>332.56491851806658</c:v>
                </c:pt>
                <c:pt idx="16">
                  <c:v>305.97793579101551</c:v>
                </c:pt>
                <c:pt idx="17">
                  <c:v>281.5838928222658</c:v>
                </c:pt>
                <c:pt idx="18">
                  <c:v>259.19480895996099</c:v>
                </c:pt>
                <c:pt idx="19">
                  <c:v>238.63959503173822</c:v>
                </c:pt>
                <c:pt idx="20">
                  <c:v>219.7625656127928</c:v>
                </c:pt>
                <c:pt idx="21">
                  <c:v>202.42179107666013</c:v>
                </c:pt>
                <c:pt idx="22">
                  <c:v>186.48785018920896</c:v>
                </c:pt>
                <c:pt idx="23">
                  <c:v>171.84269714355455</c:v>
                </c:pt>
                <c:pt idx="24">
                  <c:v>158.37856292724624</c:v>
                </c:pt>
                <c:pt idx="25">
                  <c:v>145.99705123901376</c:v>
                </c:pt>
                <c:pt idx="26">
                  <c:v>134.60828018188465</c:v>
                </c:pt>
                <c:pt idx="27">
                  <c:v>124.13010406494145</c:v>
                </c:pt>
                <c:pt idx="28">
                  <c:v>114.48743820190417</c:v>
                </c:pt>
                <c:pt idx="29">
                  <c:v>105.61160659790016</c:v>
                </c:pt>
                <c:pt idx="30">
                  <c:v>97.439804077148636</c:v>
                </c:pt>
                <c:pt idx="31">
                  <c:v>89.914529800415039</c:v>
                </c:pt>
                <c:pt idx="32">
                  <c:v>82.983169555664162</c:v>
                </c:pt>
                <c:pt idx="33">
                  <c:v>76.597520828246886</c:v>
                </c:pt>
                <c:pt idx="34">
                  <c:v>70.713443756103359</c:v>
                </c:pt>
                <c:pt idx="35">
                  <c:v>65.290472030639521</c:v>
                </c:pt>
                <c:pt idx="36">
                  <c:v>60.291526794433445</c:v>
                </c:pt>
                <c:pt idx="37">
                  <c:v>55.682596206664805</c:v>
                </c:pt>
                <c:pt idx="38">
                  <c:v>51.432495117187685</c:v>
                </c:pt>
                <c:pt idx="39">
                  <c:v>47.512604713439949</c:v>
                </c:pt>
                <c:pt idx="40">
                  <c:v>43.8966579437256</c:v>
                </c:pt>
                <c:pt idx="41">
                  <c:v>40.560539245605455</c:v>
                </c:pt>
                <c:pt idx="42">
                  <c:v>37.4821071624756</c:v>
                </c:pt>
                <c:pt idx="43">
                  <c:v>34.641022682189956</c:v>
                </c:pt>
                <c:pt idx="44">
                  <c:v>32.018591880798333</c:v>
                </c:pt>
                <c:pt idx="45">
                  <c:v>29.597640037536625</c:v>
                </c:pt>
                <c:pt idx="46">
                  <c:v>27.362371444702127</c:v>
                </c:pt>
                <c:pt idx="47">
                  <c:v>25.298269271850575</c:v>
                </c:pt>
                <c:pt idx="48">
                  <c:v>23.391973972320574</c:v>
                </c:pt>
                <c:pt idx="49">
                  <c:v>21.631198883056658</c:v>
                </c:pt>
              </c:numCache>
            </c:numRef>
          </c:val>
        </c:ser>
        <c:ser>
          <c:idx val="3"/>
          <c:order val="2"/>
          <c:tx>
            <c:strRef>
              <c:f>'Maesbury Road example'!$Y$16</c:f>
              <c:strCache>
                <c:ptCount val="1"/>
                <c:pt idx="0">
                  <c:v>-33%</c:v>
                </c:pt>
              </c:strCache>
            </c:strRef>
          </c:tx>
          <c:spPr>
            <a:ln>
              <a:solidFill>
                <a:srgbClr val="FF5050"/>
              </a:solidFill>
            </a:ln>
          </c:spPr>
          <c:marker>
            <c:symbol val="none"/>
          </c:marker>
          <c:cat>
            <c:numRef>
              <c:f>'Maesbury Road example'!$V$17:$V$66</c:f>
              <c:numCache>
                <c:formatCode>0</c:formatCode>
                <c:ptCount val="5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numCache>
            </c:numRef>
          </c:cat>
          <c:val>
            <c:numRef>
              <c:f>'Maesbury Road example'!$Y$17:$Y$66</c:f>
              <c:numCache>
                <c:formatCode>0</c:formatCode>
                <c:ptCount val="50"/>
                <c:pt idx="0">
                  <c:v>808.73338806152321</c:v>
                </c:pt>
                <c:pt idx="1">
                  <c:v>793.12215087890752</c:v>
                </c:pt>
                <c:pt idx="2">
                  <c:v>705.7231576538079</c:v>
                </c:pt>
                <c:pt idx="3">
                  <c:v>633.85504577636573</c:v>
                </c:pt>
                <c:pt idx="4">
                  <c:v>574.70775329589981</c:v>
                </c:pt>
                <c:pt idx="5">
                  <c:v>523.90753051757713</c:v>
                </c:pt>
                <c:pt idx="6">
                  <c:v>479.09185455322307</c:v>
                </c:pt>
                <c:pt idx="7">
                  <c:v>438.91918167114238</c:v>
                </c:pt>
                <c:pt idx="8">
                  <c:v>402.57307205200357</c:v>
                </c:pt>
                <c:pt idx="9">
                  <c:v>369.51281066894603</c:v>
                </c:pt>
                <c:pt idx="10">
                  <c:v>339.34772094726543</c:v>
                </c:pt>
                <c:pt idx="11">
                  <c:v>311.77297210693348</c:v>
                </c:pt>
                <c:pt idx="12">
                  <c:v>286.53673141479504</c:v>
                </c:pt>
                <c:pt idx="13">
                  <c:v>263.42249816894542</c:v>
                </c:pt>
                <c:pt idx="14">
                  <c:v>242.23982597351079</c:v>
                </c:pt>
                <c:pt idx="15">
                  <c:v>222.81849540710462</c:v>
                </c:pt>
                <c:pt idx="16">
                  <c:v>205.00521697998042</c:v>
                </c:pt>
                <c:pt idx="17">
                  <c:v>188.6612081909181</c:v>
                </c:pt>
                <c:pt idx="18">
                  <c:v>173.66052200317387</c:v>
                </c:pt>
                <c:pt idx="19">
                  <c:v>159.88852867126462</c:v>
                </c:pt>
                <c:pt idx="20">
                  <c:v>147.24091896057118</c:v>
                </c:pt>
                <c:pt idx="21">
                  <c:v>135.6226000213623</c:v>
                </c:pt>
                <c:pt idx="22">
                  <c:v>124.94685962677001</c:v>
                </c:pt>
                <c:pt idx="23">
                  <c:v>115.13460708618155</c:v>
                </c:pt>
                <c:pt idx="24">
                  <c:v>106.11363716125499</c:v>
                </c:pt>
                <c:pt idx="25">
                  <c:v>97.818024330139224</c:v>
                </c:pt>
                <c:pt idx="26">
                  <c:v>90.187547721862728</c:v>
                </c:pt>
                <c:pt idx="27">
                  <c:v>83.167169723510781</c:v>
                </c:pt>
                <c:pt idx="28">
                  <c:v>76.706583595275802</c:v>
                </c:pt>
                <c:pt idx="29">
                  <c:v>70.759776420593113</c:v>
                </c:pt>
                <c:pt idx="30">
                  <c:v>65.284668731689592</c:v>
                </c:pt>
                <c:pt idx="31">
                  <c:v>60.242734966278078</c:v>
                </c:pt>
                <c:pt idx="32">
                  <c:v>55.598723602294989</c:v>
                </c:pt>
                <c:pt idx="33">
                  <c:v>51.320338954925418</c:v>
                </c:pt>
                <c:pt idx="34">
                  <c:v>47.378007316589255</c:v>
                </c:pt>
                <c:pt idx="35">
                  <c:v>43.744616260528481</c:v>
                </c:pt>
                <c:pt idx="36">
                  <c:v>40.395322952270412</c:v>
                </c:pt>
                <c:pt idx="37">
                  <c:v>37.307339458465421</c:v>
                </c:pt>
                <c:pt idx="38">
                  <c:v>34.459771728515754</c:v>
                </c:pt>
                <c:pt idx="39">
                  <c:v>31.833445158004768</c:v>
                </c:pt>
                <c:pt idx="40">
                  <c:v>29.410760822296155</c:v>
                </c:pt>
                <c:pt idx="41">
                  <c:v>27.175561294555656</c:v>
                </c:pt>
                <c:pt idx="42">
                  <c:v>25.113011798858654</c:v>
                </c:pt>
                <c:pt idx="43">
                  <c:v>23.20948519706727</c:v>
                </c:pt>
                <c:pt idx="44">
                  <c:v>21.452456560134884</c:v>
                </c:pt>
                <c:pt idx="45">
                  <c:v>19.83041882514954</c:v>
                </c:pt>
                <c:pt idx="46">
                  <c:v>18.332788867950427</c:v>
                </c:pt>
                <c:pt idx="47">
                  <c:v>16.949840412139885</c:v>
                </c:pt>
                <c:pt idx="48">
                  <c:v>15.672622561454785</c:v>
                </c:pt>
                <c:pt idx="49">
                  <c:v>14.492903251647961</c:v>
                </c:pt>
              </c:numCache>
            </c:numRef>
          </c:val>
        </c:ser>
        <c:marker val="1"/>
        <c:axId val="94477312"/>
        <c:axId val="94491776"/>
      </c:lineChart>
      <c:catAx>
        <c:axId val="94477312"/>
        <c:scaling>
          <c:orientation val="minMax"/>
        </c:scaling>
        <c:axPos val="b"/>
        <c:title>
          <c:tx>
            <c:rich>
              <a:bodyPr/>
              <a:lstStyle/>
              <a:p>
                <a:pPr>
                  <a:defRPr sz="1400" baseline="0"/>
                </a:pPr>
                <a:r>
                  <a:rPr lang="en-GB" sz="1400" b="1" i="0" baseline="0"/>
                  <a:t>Year</a:t>
                </a:r>
                <a:endParaRPr lang="en-GB" sz="1400" baseline="0"/>
              </a:p>
            </c:rich>
          </c:tx>
          <c:layout>
            <c:manualLayout>
              <c:xMode val="edge"/>
              <c:yMode val="edge"/>
              <c:x val="0.48278647463001367"/>
              <c:y val="0.94737885254496368"/>
            </c:manualLayout>
          </c:layout>
        </c:title>
        <c:numFmt formatCode="0" sourceLinked="1"/>
        <c:tickLblPos val="nextTo"/>
        <c:txPr>
          <a:bodyPr/>
          <a:lstStyle/>
          <a:p>
            <a:pPr>
              <a:defRPr sz="1400" baseline="0"/>
            </a:pPr>
            <a:endParaRPr lang="en-US"/>
          </a:p>
        </c:txPr>
        <c:crossAx val="94491776"/>
        <c:crosses val="autoZero"/>
        <c:auto val="1"/>
        <c:lblAlgn val="ctr"/>
        <c:lblOffset val="100"/>
        <c:tickLblSkip val="5"/>
      </c:catAx>
      <c:valAx>
        <c:axId val="94491776"/>
        <c:scaling>
          <c:orientation val="minMax"/>
        </c:scaling>
        <c:axPos val="l"/>
        <c:majorGridlines>
          <c:spPr>
            <a:ln>
              <a:solidFill>
                <a:sysClr val="window" lastClr="FFFFFF">
                  <a:lumMod val="75000"/>
                  <a:alpha val="40000"/>
                </a:sysClr>
              </a:solidFill>
            </a:ln>
          </c:spPr>
        </c:majorGridlines>
        <c:title>
          <c:tx>
            <c:rich>
              <a:bodyPr rot="-5400000" vert="horz"/>
              <a:lstStyle/>
              <a:p>
                <a:pPr>
                  <a:defRPr/>
                </a:pPr>
                <a:r>
                  <a:rPr lang="en-GB" sz="1400"/>
                  <a:t>Total LFG generated </a:t>
                </a:r>
                <a:r>
                  <a:rPr lang="en-GB" sz="1400">
                    <a:latin typeface="Calibri"/>
                    <a:cs typeface="Calibri"/>
                  </a:rPr>
                  <a:t/>
                </a:r>
                <a:br>
                  <a:rPr lang="en-GB" sz="1400">
                    <a:latin typeface="Calibri"/>
                    <a:cs typeface="Calibri"/>
                  </a:rPr>
                </a:br>
                <a:r>
                  <a:rPr lang="en-GB" sz="1400"/>
                  <a:t>(m</a:t>
                </a:r>
                <a:r>
                  <a:rPr lang="en-GB" sz="1400" baseline="30000"/>
                  <a:t>3</a:t>
                </a:r>
                <a:r>
                  <a:rPr lang="en-GB" sz="1400"/>
                  <a:t> hr</a:t>
                </a:r>
                <a:r>
                  <a:rPr lang="en-GB" sz="1400" baseline="30000"/>
                  <a:t>-1</a:t>
                </a:r>
                <a:r>
                  <a:rPr lang="en-GB" sz="1400"/>
                  <a:t>)</a:t>
                </a:r>
              </a:p>
            </c:rich>
          </c:tx>
          <c:layout>
            <c:manualLayout>
              <c:xMode val="edge"/>
              <c:yMode val="edge"/>
              <c:x val="1.1584444878169961E-2"/>
              <c:y val="0.31878236123562426"/>
            </c:manualLayout>
          </c:layout>
        </c:title>
        <c:numFmt formatCode="0" sourceLinked="1"/>
        <c:tickLblPos val="nextTo"/>
        <c:txPr>
          <a:bodyPr/>
          <a:lstStyle/>
          <a:p>
            <a:pPr>
              <a:defRPr sz="1400" baseline="0"/>
            </a:pPr>
            <a:endParaRPr lang="en-US"/>
          </a:p>
        </c:txPr>
        <c:crossAx val="94477312"/>
        <c:crosses val="autoZero"/>
        <c:crossBetween val="between"/>
      </c:valAx>
      <c:valAx>
        <c:axId val="94493696"/>
        <c:scaling>
          <c:orientation val="minMax"/>
          <c:max val="1"/>
          <c:min val="0"/>
        </c:scaling>
        <c:axPos val="r"/>
        <c:numFmt formatCode="0" sourceLinked="1"/>
        <c:majorTickMark val="none"/>
        <c:tickLblPos val="none"/>
        <c:crossAx val="93856512"/>
        <c:crosses val="max"/>
        <c:crossBetween val="between"/>
      </c:valAx>
      <c:catAx>
        <c:axId val="93856512"/>
        <c:scaling>
          <c:orientation val="minMax"/>
        </c:scaling>
        <c:delete val="1"/>
        <c:axPos val="b"/>
        <c:numFmt formatCode="0" sourceLinked="1"/>
        <c:tickLblPos val="none"/>
        <c:crossAx val="94493696"/>
        <c:crosses val="autoZero"/>
        <c:auto val="1"/>
        <c:lblAlgn val="ctr"/>
        <c:lblOffset val="100"/>
      </c:catAx>
    </c:plotArea>
    <c:legend>
      <c:legendPos val="r"/>
      <c:layout>
        <c:manualLayout>
          <c:xMode val="edge"/>
          <c:yMode val="edge"/>
          <c:x val="0.61879757914053435"/>
          <c:y val="0.15337965042462171"/>
          <c:w val="0.31943823618561851"/>
          <c:h val="0.42521185523703492"/>
        </c:manualLayout>
      </c:layout>
      <c:overlay val="1"/>
      <c:spPr>
        <a:solidFill>
          <a:schemeClr val="bg1"/>
        </a:solidFill>
        <a:ln>
          <a:solidFill>
            <a:schemeClr val="bg1">
              <a:lumMod val="75000"/>
            </a:schemeClr>
          </a:solidFill>
        </a:ln>
      </c:spPr>
      <c:txPr>
        <a:bodyPr/>
        <a:lstStyle/>
        <a:p>
          <a:pPr>
            <a:defRPr sz="1600" baseline="0"/>
          </a:pPr>
          <a:endParaRPr lang="en-US"/>
        </a:p>
      </c:txPr>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Annual GHG source estimate</a:t>
            </a:r>
          </a:p>
        </c:rich>
      </c:tx>
    </c:title>
    <c:plotArea>
      <c:layout>
        <c:manualLayout>
          <c:layoutTarget val="inner"/>
          <c:xMode val="edge"/>
          <c:yMode val="edge"/>
          <c:x val="0.15030511064261601"/>
          <c:y val="0.13335050932486187"/>
          <c:w val="0.8227871214450545"/>
          <c:h val="0.76487039823184777"/>
        </c:manualLayout>
      </c:layout>
      <c:areaChart>
        <c:grouping val="standard"/>
        <c:ser>
          <c:idx val="5"/>
          <c:order val="0"/>
          <c:tx>
            <c:strRef>
              <c:f>'Maesbury Road example'!$AC$16</c:f>
              <c:strCache>
                <c:ptCount val="1"/>
                <c:pt idx="0">
                  <c:v>Total GHG potential (tCO2e yr-1) (from CH4)</c:v>
                </c:pt>
              </c:strCache>
            </c:strRef>
          </c:tx>
          <c:spPr>
            <a:solidFill>
              <a:srgbClr val="FF0000"/>
            </a:solidFill>
            <a:ln>
              <a:noFill/>
            </a:ln>
          </c:spPr>
          <c:cat>
            <c:numRef>
              <c:f>'Maesbury Road example'!$V$17:$V$66</c:f>
              <c:numCache>
                <c:formatCode>0</c:formatCode>
                <c:ptCount val="5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numCache>
            </c:numRef>
          </c:cat>
          <c:val>
            <c:numRef>
              <c:f>'Maesbury Road example'!$AC$17:$AC$66</c:f>
              <c:numCache>
                <c:formatCode>0</c:formatCode>
                <c:ptCount val="50"/>
                <c:pt idx="0">
                  <c:v>94636.291180297791</c:v>
                </c:pt>
                <c:pt idx="1">
                  <c:v>92809.496825683731</c:v>
                </c:pt>
                <c:pt idx="2">
                  <c:v>82582.249263244536</c:v>
                </c:pt>
                <c:pt idx="3">
                  <c:v>74172.392983520316</c:v>
                </c:pt>
                <c:pt idx="4">
                  <c:v>67251.10040881364</c:v>
                </c:pt>
                <c:pt idx="5">
                  <c:v>61306.564489013552</c:v>
                </c:pt>
                <c:pt idx="6">
                  <c:v>56062.327732360878</c:v>
                </c:pt>
                <c:pt idx="7">
                  <c:v>51361.405494598373</c:v>
                </c:pt>
                <c:pt idx="8">
                  <c:v>47108.259694061475</c:v>
                </c:pt>
                <c:pt idx="9">
                  <c:v>43239.616988159265</c:v>
                </c:pt>
                <c:pt idx="10">
                  <c:v>39709.761220458968</c:v>
                </c:pt>
                <c:pt idx="11">
                  <c:v>36483.021730041495</c:v>
                </c:pt>
                <c:pt idx="12">
                  <c:v>33529.929576690687</c:v>
                </c:pt>
                <c:pt idx="13">
                  <c:v>30825.150300659188</c:v>
                </c:pt>
                <c:pt idx="14">
                  <c:v>28346.398262649542</c:v>
                </c:pt>
                <c:pt idx="15">
                  <c:v>26073.754741653458</c:v>
                </c:pt>
                <c:pt idx="16">
                  <c:v>23989.282121887201</c:v>
                </c:pt>
                <c:pt idx="17">
                  <c:v>22076.740365051282</c:v>
                </c:pt>
                <c:pt idx="18">
                  <c:v>20321.391412078858</c:v>
                </c:pt>
                <c:pt idx="19">
                  <c:v>18709.821529678342</c:v>
                </c:pt>
                <c:pt idx="20">
                  <c:v>17229.824669174184</c:v>
                </c:pt>
                <c:pt idx="21">
                  <c:v>15870.273263992309</c:v>
                </c:pt>
                <c:pt idx="22">
                  <c:v>14621.020430534363</c:v>
                </c:pt>
                <c:pt idx="23">
                  <c:v>13472.811141448963</c:v>
                </c:pt>
                <c:pt idx="24">
                  <c:v>12417.196090621959</c:v>
                </c:pt>
                <c:pt idx="25">
                  <c:v>11446.460811241157</c:v>
                </c:pt>
                <c:pt idx="26">
                  <c:v>10553.558382820122</c:v>
                </c:pt>
                <c:pt idx="27">
                  <c:v>9732.0484188995415</c:v>
                </c:pt>
                <c:pt idx="28">
                  <c:v>8976.0441299056911</c:v>
                </c:pt>
                <c:pt idx="29">
                  <c:v>8280.1611804885688</c:v>
                </c:pt>
                <c:pt idx="30">
                  <c:v>7639.4755192566072</c:v>
                </c:pt>
                <c:pt idx="31">
                  <c:v>7049.4789654121405</c:v>
                </c:pt>
                <c:pt idx="32">
                  <c:v>6506.0464595031817</c:v>
                </c:pt>
                <c:pt idx="33">
                  <c:v>6005.3988279762125</c:v>
                </c:pt>
                <c:pt idx="34">
                  <c:v>5544.0754173660143</c:v>
                </c:pt>
                <c:pt idx="35">
                  <c:v>5118.9035881461987</c:v>
                </c:pt>
                <c:pt idx="36">
                  <c:v>4726.9762837371709</c:v>
                </c:pt>
                <c:pt idx="37">
                  <c:v>4365.6269077949337</c:v>
                </c:pt>
                <c:pt idx="38">
                  <c:v>4032.4104821777478</c:v>
                </c:pt>
                <c:pt idx="39">
                  <c:v>3725.0832347431192</c:v>
                </c:pt>
                <c:pt idx="40">
                  <c:v>3441.5857761039747</c:v>
                </c:pt>
                <c:pt idx="41">
                  <c:v>3180.0273979339586</c:v>
                </c:pt>
                <c:pt idx="42">
                  <c:v>2938.6721657524113</c:v>
                </c:pt>
                <c:pt idx="43">
                  <c:v>2715.9254603290565</c:v>
                </c:pt>
                <c:pt idx="44">
                  <c:v>2510.3216406383513</c:v>
                </c:pt>
                <c:pt idx="45">
                  <c:v>2320.5141742229466</c:v>
                </c:pt>
                <c:pt idx="46">
                  <c:v>2145.2646460075357</c:v>
                </c:pt>
                <c:pt idx="47">
                  <c:v>1983.4349074516288</c:v>
                </c:pt>
                <c:pt idx="48">
                  <c:v>1833.9775433778775</c:v>
                </c:pt>
                <c:pt idx="49">
                  <c:v>1695.9292548294081</c:v>
                </c:pt>
              </c:numCache>
            </c:numRef>
          </c:val>
        </c:ser>
        <c:axId val="93894912"/>
        <c:axId val="93901184"/>
      </c:areaChart>
      <c:barChart>
        <c:barDir val="col"/>
        <c:grouping val="clustered"/>
        <c:ser>
          <c:idx val="0"/>
          <c:order val="1"/>
          <c:tx>
            <c:v>Current Year</c:v>
          </c:tx>
          <c:spPr>
            <a:ln w="25400">
              <a:noFill/>
            </a:ln>
          </c:spPr>
          <c:cat>
            <c:numRef>
              <c:f>'Maesbury Road example'!$V$17:$V$66</c:f>
              <c:numCache>
                <c:formatCode>0</c:formatCode>
                <c:ptCount val="5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pt idx="32">
                  <c:v>2023</c:v>
                </c:pt>
                <c:pt idx="33">
                  <c:v>2024</c:v>
                </c:pt>
                <c:pt idx="34">
                  <c:v>2025</c:v>
                </c:pt>
                <c:pt idx="35">
                  <c:v>2026</c:v>
                </c:pt>
                <c:pt idx="36">
                  <c:v>2027</c:v>
                </c:pt>
                <c:pt idx="37">
                  <c:v>2028</c:v>
                </c:pt>
                <c:pt idx="38">
                  <c:v>2029</c:v>
                </c:pt>
                <c:pt idx="39">
                  <c:v>2030</c:v>
                </c:pt>
                <c:pt idx="40">
                  <c:v>2031</c:v>
                </c:pt>
                <c:pt idx="41">
                  <c:v>2032</c:v>
                </c:pt>
                <c:pt idx="42">
                  <c:v>2033</c:v>
                </c:pt>
                <c:pt idx="43">
                  <c:v>2034</c:v>
                </c:pt>
                <c:pt idx="44">
                  <c:v>2035</c:v>
                </c:pt>
                <c:pt idx="45">
                  <c:v>2036</c:v>
                </c:pt>
                <c:pt idx="46">
                  <c:v>2037</c:v>
                </c:pt>
                <c:pt idx="47">
                  <c:v>2038</c:v>
                </c:pt>
                <c:pt idx="48">
                  <c:v>2039</c:v>
                </c:pt>
                <c:pt idx="49">
                  <c:v>2040</c:v>
                </c:pt>
              </c:numCache>
            </c:numRef>
          </c:cat>
          <c:val>
            <c:numRef>
              <c:f>'Maesbury Road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101126144"/>
        <c:axId val="93903104"/>
      </c:barChart>
      <c:catAx>
        <c:axId val="93894912"/>
        <c:scaling>
          <c:orientation val="minMax"/>
        </c:scaling>
        <c:axPos val="b"/>
        <c:title>
          <c:tx>
            <c:rich>
              <a:bodyPr/>
              <a:lstStyle/>
              <a:p>
                <a:pPr>
                  <a:defRPr sz="1400" baseline="0"/>
                </a:pPr>
                <a:r>
                  <a:rPr lang="en-GB" sz="1400" baseline="0"/>
                  <a:t>Year</a:t>
                </a:r>
              </a:p>
            </c:rich>
          </c:tx>
          <c:layout>
            <c:manualLayout>
              <c:xMode val="edge"/>
              <c:yMode val="edge"/>
              <c:x val="0.48018054135190491"/>
              <c:y val="0.94755056580749697"/>
            </c:manualLayout>
          </c:layout>
        </c:title>
        <c:numFmt formatCode="0" sourceLinked="1"/>
        <c:tickLblPos val="nextTo"/>
        <c:txPr>
          <a:bodyPr/>
          <a:lstStyle/>
          <a:p>
            <a:pPr>
              <a:defRPr sz="1400" baseline="0"/>
            </a:pPr>
            <a:endParaRPr lang="en-US"/>
          </a:p>
        </c:txPr>
        <c:crossAx val="93901184"/>
        <c:crosses val="autoZero"/>
        <c:auto val="1"/>
        <c:lblAlgn val="ctr"/>
        <c:lblOffset val="100"/>
        <c:tickLblSkip val="5"/>
      </c:catAx>
      <c:valAx>
        <c:axId val="93901184"/>
        <c:scaling>
          <c:orientation val="minMax"/>
          <c:min val="0"/>
        </c:scaling>
        <c:axPos val="l"/>
        <c:majorGridlines>
          <c:spPr>
            <a:ln>
              <a:solidFill>
                <a:sysClr val="window" lastClr="FFFFFF">
                  <a:lumMod val="75000"/>
                  <a:alpha val="40000"/>
                </a:sysClr>
              </a:solidFill>
            </a:ln>
          </c:spPr>
        </c:majorGridlines>
        <c:title>
          <c:tx>
            <c:rich>
              <a:bodyPr rot="-5400000" vert="horz"/>
              <a:lstStyle/>
              <a:p>
                <a:pPr>
                  <a:defRPr sz="1400"/>
                </a:pPr>
                <a:r>
                  <a:rPr lang="en-GB" sz="1400"/>
                  <a:t>Total  GHG potential </a:t>
                </a:r>
                <a:br>
                  <a:rPr lang="en-GB" sz="1400"/>
                </a:br>
                <a:r>
                  <a:rPr lang="en-GB" sz="1400"/>
                  <a:t>(tCO</a:t>
                </a:r>
                <a:r>
                  <a:rPr lang="en-GB" sz="1400" baseline="-25000"/>
                  <a:t>2</a:t>
                </a:r>
                <a:r>
                  <a:rPr lang="en-GB" sz="1400"/>
                  <a:t>e yr</a:t>
                </a:r>
                <a:r>
                  <a:rPr lang="en-GB" sz="1400" baseline="30000"/>
                  <a:t>-1</a:t>
                </a:r>
                <a:r>
                  <a:rPr lang="en-GB" sz="1400"/>
                  <a:t>)</a:t>
                </a:r>
              </a:p>
            </c:rich>
          </c:tx>
          <c:layout>
            <c:manualLayout>
              <c:xMode val="edge"/>
              <c:yMode val="edge"/>
              <c:x val="2.3311609436634399E-2"/>
              <c:y val="0.35572363631559945"/>
            </c:manualLayout>
          </c:layout>
        </c:title>
        <c:numFmt formatCode="#,##0" sourceLinked="0"/>
        <c:tickLblPos val="nextTo"/>
        <c:txPr>
          <a:bodyPr/>
          <a:lstStyle/>
          <a:p>
            <a:pPr>
              <a:defRPr sz="1400" baseline="0"/>
            </a:pPr>
            <a:endParaRPr lang="en-US"/>
          </a:p>
        </c:txPr>
        <c:crossAx val="93894912"/>
        <c:crosses val="autoZero"/>
        <c:crossBetween val="midCat"/>
      </c:valAx>
      <c:valAx>
        <c:axId val="93903104"/>
        <c:scaling>
          <c:orientation val="minMax"/>
          <c:max val="1"/>
          <c:min val="0"/>
        </c:scaling>
        <c:axPos val="r"/>
        <c:numFmt formatCode="0" sourceLinked="1"/>
        <c:majorTickMark val="none"/>
        <c:tickLblPos val="none"/>
        <c:crossAx val="101126144"/>
        <c:crosses val="max"/>
        <c:crossBetween val="between"/>
      </c:valAx>
      <c:catAx>
        <c:axId val="101126144"/>
        <c:scaling>
          <c:orientation val="minMax"/>
        </c:scaling>
        <c:delete val="1"/>
        <c:axPos val="b"/>
        <c:numFmt formatCode="0" sourceLinked="1"/>
        <c:tickLblPos val="none"/>
        <c:crossAx val="93903104"/>
        <c:crosses val="autoZero"/>
        <c:auto val="1"/>
        <c:lblAlgn val="ctr"/>
        <c:lblOffset val="100"/>
      </c:catAx>
    </c:plotArea>
    <c:legend>
      <c:legendPos val="r"/>
      <c:layout>
        <c:manualLayout>
          <c:xMode val="edge"/>
          <c:yMode val="edge"/>
          <c:x val="0.67706832315158905"/>
          <c:y val="0.15808321095138891"/>
          <c:w val="0.28548996082514289"/>
          <c:h val="0.27613333248017624"/>
        </c:manualLayout>
      </c:layout>
      <c:overlay val="1"/>
      <c:spPr>
        <a:solidFill>
          <a:sysClr val="window" lastClr="FFFFFF"/>
        </a:solidFill>
        <a:ln>
          <a:solidFill>
            <a:sysClr val="window" lastClr="FFFFFF">
              <a:lumMod val="75000"/>
            </a:sysClr>
          </a:solidFill>
        </a:ln>
      </c:spPr>
      <c:txPr>
        <a:bodyPr/>
        <a:lstStyle/>
        <a:p>
          <a:pPr>
            <a:defRPr sz="1600" baseline="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Annual GHG source estimate</a:t>
            </a:r>
          </a:p>
        </c:rich>
      </c:tx>
    </c:title>
    <c:plotArea>
      <c:layout>
        <c:manualLayout>
          <c:layoutTarget val="inner"/>
          <c:xMode val="edge"/>
          <c:yMode val="edge"/>
          <c:x val="0.15030511064261601"/>
          <c:y val="0.13335050932486187"/>
          <c:w val="0.8227871214450545"/>
          <c:h val="0.76487039823184755"/>
        </c:manualLayout>
      </c:layout>
      <c:areaChart>
        <c:grouping val="standard"/>
        <c:ser>
          <c:idx val="5"/>
          <c:order val="0"/>
          <c:tx>
            <c:strRef>
              <c:f>'Data inputs'!$AC$17</c:f>
              <c:strCache>
                <c:ptCount val="1"/>
                <c:pt idx="0">
                  <c:v>Total GHG potential (tCO2e yr-1) (from CH4)</c:v>
                </c:pt>
              </c:strCache>
            </c:strRef>
          </c:tx>
          <c:spPr>
            <a:solidFill>
              <a:srgbClr val="FF0000"/>
            </a:solidFill>
            <a:ln>
              <a:noFill/>
            </a:ln>
          </c:spPr>
          <c:cat>
            <c:numRef>
              <c:f>'Data inputs'!$V$18:$V$67</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'Data inputs'!$AC$18:$AC$67</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1496448"/>
        <c:axId val="91498368"/>
      </c:areaChart>
      <c:barChart>
        <c:barDir val="col"/>
        <c:grouping val="clustered"/>
        <c:ser>
          <c:idx val="0"/>
          <c:order val="1"/>
          <c:tx>
            <c:v>Current Year</c:v>
          </c:tx>
          <c:spPr>
            <a:ln w="25400">
              <a:noFill/>
            </a:ln>
          </c:spPr>
          <c:cat>
            <c:numRef>
              <c:f>'Data inputs'!$V$18:$V$67</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'Data inputs'!$Z$18:$Z$67</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1514368"/>
        <c:axId val="91512832"/>
      </c:barChart>
      <c:catAx>
        <c:axId val="91496448"/>
        <c:scaling>
          <c:orientation val="minMax"/>
        </c:scaling>
        <c:axPos val="b"/>
        <c:title>
          <c:tx>
            <c:rich>
              <a:bodyPr/>
              <a:lstStyle/>
              <a:p>
                <a:pPr>
                  <a:defRPr sz="1400" baseline="0"/>
                </a:pPr>
                <a:r>
                  <a:rPr lang="en-GB" sz="1400" baseline="0"/>
                  <a:t>Year</a:t>
                </a:r>
              </a:p>
            </c:rich>
          </c:tx>
          <c:layout>
            <c:manualLayout>
              <c:xMode val="edge"/>
              <c:yMode val="edge"/>
              <c:x val="0.48018054135190474"/>
              <c:y val="0.94755056580749719"/>
            </c:manualLayout>
          </c:layout>
        </c:title>
        <c:numFmt formatCode="0" sourceLinked="1"/>
        <c:tickLblPos val="nextTo"/>
        <c:txPr>
          <a:bodyPr/>
          <a:lstStyle/>
          <a:p>
            <a:pPr>
              <a:defRPr sz="1400" baseline="0"/>
            </a:pPr>
            <a:endParaRPr lang="en-US"/>
          </a:p>
        </c:txPr>
        <c:crossAx val="91498368"/>
        <c:crosses val="autoZero"/>
        <c:auto val="1"/>
        <c:lblAlgn val="ctr"/>
        <c:lblOffset val="100"/>
        <c:tickLblSkip val="5"/>
      </c:catAx>
      <c:valAx>
        <c:axId val="91498368"/>
        <c:scaling>
          <c:orientation val="minMax"/>
          <c:min val="0"/>
        </c:scaling>
        <c:axPos val="l"/>
        <c:majorGridlines>
          <c:spPr>
            <a:ln>
              <a:solidFill>
                <a:sysClr val="window" lastClr="FFFFFF">
                  <a:lumMod val="75000"/>
                  <a:alpha val="40000"/>
                </a:sysClr>
              </a:solidFill>
            </a:ln>
          </c:spPr>
        </c:majorGridlines>
        <c:title>
          <c:tx>
            <c:rich>
              <a:bodyPr rot="-5400000" vert="horz"/>
              <a:lstStyle/>
              <a:p>
                <a:pPr>
                  <a:defRPr sz="1400"/>
                </a:pPr>
                <a:r>
                  <a:rPr lang="en-GB" sz="1400"/>
                  <a:t>Total  GHG potential </a:t>
                </a:r>
                <a:br>
                  <a:rPr lang="en-GB" sz="1400"/>
                </a:br>
                <a:r>
                  <a:rPr lang="en-GB" sz="1400"/>
                  <a:t>(tCO</a:t>
                </a:r>
                <a:r>
                  <a:rPr lang="en-GB" sz="1400" baseline="-25000"/>
                  <a:t>2</a:t>
                </a:r>
                <a:r>
                  <a:rPr lang="en-GB" sz="1400"/>
                  <a:t>e yr</a:t>
                </a:r>
                <a:r>
                  <a:rPr lang="en-GB" sz="1400" baseline="30000"/>
                  <a:t>-1</a:t>
                </a:r>
                <a:r>
                  <a:rPr lang="en-GB" sz="1400"/>
                  <a:t>)</a:t>
                </a:r>
              </a:p>
            </c:rich>
          </c:tx>
          <c:layout>
            <c:manualLayout>
              <c:xMode val="edge"/>
              <c:yMode val="edge"/>
              <c:x val="2.3311609436634399E-2"/>
              <c:y val="0.35572363631559945"/>
            </c:manualLayout>
          </c:layout>
        </c:title>
        <c:numFmt formatCode="#,##0" sourceLinked="0"/>
        <c:tickLblPos val="nextTo"/>
        <c:txPr>
          <a:bodyPr/>
          <a:lstStyle/>
          <a:p>
            <a:pPr>
              <a:defRPr sz="1400" baseline="0"/>
            </a:pPr>
            <a:endParaRPr lang="en-US"/>
          </a:p>
        </c:txPr>
        <c:crossAx val="91496448"/>
        <c:crosses val="autoZero"/>
        <c:crossBetween val="midCat"/>
      </c:valAx>
      <c:valAx>
        <c:axId val="91512832"/>
        <c:scaling>
          <c:orientation val="minMax"/>
          <c:max val="1"/>
          <c:min val="0"/>
        </c:scaling>
        <c:axPos val="r"/>
        <c:numFmt formatCode="0" sourceLinked="1"/>
        <c:majorTickMark val="none"/>
        <c:tickLblPos val="none"/>
        <c:crossAx val="91514368"/>
        <c:crosses val="max"/>
        <c:crossBetween val="between"/>
      </c:valAx>
      <c:catAx>
        <c:axId val="91514368"/>
        <c:scaling>
          <c:orientation val="minMax"/>
        </c:scaling>
        <c:delete val="1"/>
        <c:axPos val="b"/>
        <c:numFmt formatCode="0" sourceLinked="1"/>
        <c:tickLblPos val="none"/>
        <c:crossAx val="91512832"/>
        <c:crosses val="autoZero"/>
        <c:auto val="1"/>
        <c:lblAlgn val="ctr"/>
        <c:lblOffset val="100"/>
      </c:catAx>
    </c:plotArea>
    <c:legend>
      <c:legendPos val="r"/>
      <c:layout>
        <c:manualLayout>
          <c:xMode val="edge"/>
          <c:yMode val="edge"/>
          <c:x val="0.67706832315158882"/>
          <c:y val="0.15808321095138891"/>
          <c:w val="0.28548996082514266"/>
          <c:h val="0.27613333248017646"/>
        </c:manualLayout>
      </c:layout>
      <c:overlay val="1"/>
      <c:spPr>
        <a:solidFill>
          <a:sysClr val="window" lastClr="FFFFFF"/>
        </a:solidFill>
        <a:ln>
          <a:solidFill>
            <a:sysClr val="window" lastClr="FFFFFF">
              <a:lumMod val="75000"/>
            </a:sysClr>
          </a:solidFill>
        </a:ln>
      </c:spPr>
      <c:txPr>
        <a:bodyPr/>
        <a:lstStyle/>
        <a:p>
          <a:pPr>
            <a:defRPr sz="1600" baseline="0"/>
          </a:pPr>
          <a:endParaRPr lang="en-US"/>
        </a:p>
      </c:txPr>
    </c:legend>
    <c:plotVisOnly val="1"/>
    <c:dispBlanksAs val="zero"/>
  </c:chart>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Operational LFG generation</a:t>
            </a:r>
            <a:r>
              <a:rPr lang="en-GB" sz="2400" baseline="0"/>
              <a:t> </a:t>
            </a:r>
            <a:r>
              <a:rPr lang="en-GB" sz="2400"/>
              <a:t>estimate</a:t>
            </a:r>
          </a:p>
        </c:rich>
      </c:tx>
    </c:title>
    <c:plotArea>
      <c:layout>
        <c:manualLayout>
          <c:layoutTarget val="inner"/>
          <c:xMode val="edge"/>
          <c:yMode val="edge"/>
          <c:x val="0.11178834515481781"/>
          <c:y val="0.11307045974091984"/>
          <c:w val="0.8697619549500577"/>
          <c:h val="0.76694843789688183"/>
        </c:manualLayout>
      </c:layout>
      <c:barChart>
        <c:barDir val="col"/>
        <c:grouping val="clustered"/>
        <c:ser>
          <c:idx val="0"/>
          <c:order val="3"/>
          <c:tx>
            <c:v>Current Year</c:v>
          </c:tx>
          <c:cat>
            <c:numRef>
              <c:f>'Sugden End example'!$V$17:$V$66</c:f>
              <c:numCache>
                <c:formatCode>0</c:formatCode>
                <c:ptCount val="5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pt idx="34">
                  <c:v>2031</c:v>
                </c:pt>
                <c:pt idx="35">
                  <c:v>2032</c:v>
                </c:pt>
                <c:pt idx="36">
                  <c:v>2033</c:v>
                </c:pt>
                <c:pt idx="37">
                  <c:v>2034</c:v>
                </c:pt>
                <c:pt idx="38">
                  <c:v>2035</c:v>
                </c:pt>
                <c:pt idx="39">
                  <c:v>2036</c:v>
                </c:pt>
                <c:pt idx="40">
                  <c:v>2037</c:v>
                </c:pt>
                <c:pt idx="41">
                  <c:v>2038</c:v>
                </c:pt>
                <c:pt idx="42">
                  <c:v>2039</c:v>
                </c:pt>
                <c:pt idx="43">
                  <c:v>2040</c:v>
                </c:pt>
                <c:pt idx="44">
                  <c:v>2041</c:v>
                </c:pt>
                <c:pt idx="45">
                  <c:v>2042</c:v>
                </c:pt>
                <c:pt idx="46">
                  <c:v>2043</c:v>
                </c:pt>
                <c:pt idx="47">
                  <c:v>2044</c:v>
                </c:pt>
                <c:pt idx="48">
                  <c:v>2045</c:v>
                </c:pt>
                <c:pt idx="49">
                  <c:v>2046</c:v>
                </c:pt>
              </c:numCache>
            </c:numRef>
          </c:cat>
          <c:val>
            <c:numRef>
              <c:f>'Sugden End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1487616"/>
        <c:axId val="91486080"/>
      </c:barChart>
      <c:lineChart>
        <c:grouping val="standard"/>
        <c:ser>
          <c:idx val="2"/>
          <c:order val="0"/>
          <c:tx>
            <c:strRef>
              <c:f>'Sugden End example'!$X$16</c:f>
              <c:strCache>
                <c:ptCount val="1"/>
                <c:pt idx="0">
                  <c:v>+33%</c:v>
                </c:pt>
              </c:strCache>
            </c:strRef>
          </c:tx>
          <c:spPr>
            <a:ln>
              <a:solidFill>
                <a:srgbClr val="FF5050"/>
              </a:solidFill>
            </a:ln>
          </c:spPr>
          <c:marker>
            <c:symbol val="none"/>
          </c:marker>
          <c:cat>
            <c:numRef>
              <c:f>'Sugden End example'!$V$17:$V$66</c:f>
              <c:numCache>
                <c:formatCode>0</c:formatCode>
                <c:ptCount val="5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pt idx="34">
                  <c:v>2031</c:v>
                </c:pt>
                <c:pt idx="35">
                  <c:v>2032</c:v>
                </c:pt>
                <c:pt idx="36">
                  <c:v>2033</c:v>
                </c:pt>
                <c:pt idx="37">
                  <c:v>2034</c:v>
                </c:pt>
                <c:pt idx="38">
                  <c:v>2035</c:v>
                </c:pt>
                <c:pt idx="39">
                  <c:v>2036</c:v>
                </c:pt>
                <c:pt idx="40">
                  <c:v>2037</c:v>
                </c:pt>
                <c:pt idx="41">
                  <c:v>2038</c:v>
                </c:pt>
                <c:pt idx="42">
                  <c:v>2039</c:v>
                </c:pt>
                <c:pt idx="43">
                  <c:v>2040</c:v>
                </c:pt>
                <c:pt idx="44">
                  <c:v>2041</c:v>
                </c:pt>
                <c:pt idx="45">
                  <c:v>2042</c:v>
                </c:pt>
                <c:pt idx="46">
                  <c:v>2043</c:v>
                </c:pt>
                <c:pt idx="47">
                  <c:v>2044</c:v>
                </c:pt>
                <c:pt idx="48">
                  <c:v>2045</c:v>
                </c:pt>
                <c:pt idx="49">
                  <c:v>2046</c:v>
                </c:pt>
              </c:numCache>
            </c:numRef>
          </c:cat>
          <c:val>
            <c:numRef>
              <c:f>'Sugden End example'!$X$17:$X$66</c:f>
              <c:numCache>
                <c:formatCode>0</c:formatCode>
                <c:ptCount val="50"/>
                <c:pt idx="0">
                  <c:v>1004.5660308837873</c:v>
                </c:pt>
                <c:pt idx="1">
                  <c:v>979.34065780639423</c:v>
                </c:pt>
                <c:pt idx="2">
                  <c:v>874.55627822876068</c:v>
                </c:pt>
                <c:pt idx="3">
                  <c:v>787.60156173706196</c:v>
                </c:pt>
                <c:pt idx="4">
                  <c:v>715.34273033141824</c:v>
                </c:pt>
                <c:pt idx="5">
                  <c:v>652.8799549102805</c:v>
                </c:pt>
                <c:pt idx="6">
                  <c:v>597.54805030822911</c:v>
                </c:pt>
                <c:pt idx="7">
                  <c:v>547.81805229187239</c:v>
                </c:pt>
                <c:pt idx="8">
                  <c:v>502.74694061279274</c:v>
                </c:pt>
                <c:pt idx="9">
                  <c:v>461.70077552795414</c:v>
                </c:pt>
                <c:pt idx="10">
                  <c:v>424.21482009887723</c:v>
                </c:pt>
                <c:pt idx="11">
                  <c:v>389.92230758666994</c:v>
                </c:pt>
                <c:pt idx="12">
                  <c:v>358.51763286590568</c:v>
                </c:pt>
                <c:pt idx="13">
                  <c:v>329.73674316406255</c:v>
                </c:pt>
                <c:pt idx="14">
                  <c:v>303.34633140563938</c:v>
                </c:pt>
                <c:pt idx="15">
                  <c:v>279.13749427795409</c:v>
                </c:pt>
                <c:pt idx="16">
                  <c:v>256.92177486419683</c:v>
                </c:pt>
                <c:pt idx="17">
                  <c:v>236.52837219238302</c:v>
                </c:pt>
                <c:pt idx="18">
                  <c:v>217.80201034545888</c:v>
                </c:pt>
                <c:pt idx="19">
                  <c:v>200.60140371322609</c:v>
                </c:pt>
                <c:pt idx="20">
                  <c:v>184.79782371520994</c:v>
                </c:pt>
                <c:pt idx="21">
                  <c:v>170.27381772994991</c:v>
                </c:pt>
                <c:pt idx="22">
                  <c:v>156.92225780487047</c:v>
                </c:pt>
                <c:pt idx="23">
                  <c:v>144.64532594680813</c:v>
                </c:pt>
                <c:pt idx="24">
                  <c:v>133.35371503829984</c:v>
                </c:pt>
                <c:pt idx="25">
                  <c:v>122.96577901840185</c:v>
                </c:pt>
                <c:pt idx="26">
                  <c:v>113.40692405700696</c:v>
                </c:pt>
                <c:pt idx="27">
                  <c:v>104.60892362594619</c:v>
                </c:pt>
                <c:pt idx="28">
                  <c:v>96.509392118453874</c:v>
                </c:pt>
                <c:pt idx="29">
                  <c:v>89.051226758957071</c:v>
                </c:pt>
                <c:pt idx="30">
                  <c:v>82.182170009612847</c:v>
                </c:pt>
                <c:pt idx="31">
                  <c:v>75.854359292983901</c:v>
                </c:pt>
                <c:pt idx="32">
                  <c:v>70.023965501785455</c:v>
                </c:pt>
                <c:pt idx="33">
                  <c:v>64.650837850570582</c:v>
                </c:pt>
                <c:pt idx="34">
                  <c:v>59.698148727417205</c:v>
                </c:pt>
                <c:pt idx="35">
                  <c:v>55.132152700424207</c:v>
                </c:pt>
                <c:pt idx="36">
                  <c:v>50.92189795970917</c:v>
                </c:pt>
                <c:pt idx="37">
                  <c:v>47.038982152938843</c:v>
                </c:pt>
                <c:pt idx="38">
                  <c:v>43.457349443435675</c:v>
                </c:pt>
                <c:pt idx="39">
                  <c:v>40.153071713447567</c:v>
                </c:pt>
                <c:pt idx="40">
                  <c:v>37.10418684482574</c:v>
                </c:pt>
                <c:pt idx="41">
                  <c:v>34.290514802932734</c:v>
                </c:pt>
                <c:pt idx="42">
                  <c:v>31.693514943122885</c:v>
                </c:pt>
                <c:pt idx="43">
                  <c:v>29.296159172058118</c:v>
                </c:pt>
                <c:pt idx="44">
                  <c:v>27.082779741287219</c:v>
                </c:pt>
                <c:pt idx="45">
                  <c:v>25.038985216617586</c:v>
                </c:pt>
                <c:pt idx="46">
                  <c:v>23.151528882980358</c:v>
                </c:pt>
                <c:pt idx="47">
                  <c:v>21.40822788476946</c:v>
                </c:pt>
                <c:pt idx="48">
                  <c:v>19.797872853279134</c:v>
                </c:pt>
                <c:pt idx="49">
                  <c:v>18.310147047042857</c:v>
                </c:pt>
              </c:numCache>
            </c:numRef>
          </c:val>
        </c:ser>
        <c:ser>
          <c:idx val="1"/>
          <c:order val="1"/>
          <c:tx>
            <c:strRef>
              <c:f>'Sugden End example'!$W$16</c:f>
              <c:strCache>
                <c:ptCount val="1"/>
                <c:pt idx="0">
                  <c:v>Total LFG generated (m3 hr-1) (50% CH4)</c:v>
                </c:pt>
              </c:strCache>
            </c:strRef>
          </c:tx>
          <c:spPr>
            <a:ln w="38100">
              <a:solidFill>
                <a:srgbClr val="FF0000"/>
              </a:solidFill>
            </a:ln>
          </c:spPr>
          <c:marker>
            <c:symbol val="none"/>
          </c:marker>
          <c:cat>
            <c:numRef>
              <c:f>'Sugden End example'!$V$17:$V$66</c:f>
              <c:numCache>
                <c:formatCode>0</c:formatCode>
                <c:ptCount val="5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pt idx="34">
                  <c:v>2031</c:v>
                </c:pt>
                <c:pt idx="35">
                  <c:v>2032</c:v>
                </c:pt>
                <c:pt idx="36">
                  <c:v>2033</c:v>
                </c:pt>
                <c:pt idx="37">
                  <c:v>2034</c:v>
                </c:pt>
                <c:pt idx="38">
                  <c:v>2035</c:v>
                </c:pt>
                <c:pt idx="39">
                  <c:v>2036</c:v>
                </c:pt>
                <c:pt idx="40">
                  <c:v>2037</c:v>
                </c:pt>
                <c:pt idx="41">
                  <c:v>2038</c:v>
                </c:pt>
                <c:pt idx="42">
                  <c:v>2039</c:v>
                </c:pt>
                <c:pt idx="43">
                  <c:v>2040</c:v>
                </c:pt>
                <c:pt idx="44">
                  <c:v>2041</c:v>
                </c:pt>
                <c:pt idx="45">
                  <c:v>2042</c:v>
                </c:pt>
                <c:pt idx="46">
                  <c:v>2043</c:v>
                </c:pt>
                <c:pt idx="47">
                  <c:v>2044</c:v>
                </c:pt>
                <c:pt idx="48">
                  <c:v>2045</c:v>
                </c:pt>
                <c:pt idx="49">
                  <c:v>2046</c:v>
                </c:pt>
              </c:numCache>
            </c:numRef>
          </c:cat>
          <c:val>
            <c:numRef>
              <c:f>'Sugden End example'!$W$17:$W$66</c:f>
              <c:numCache>
                <c:formatCode>0</c:formatCode>
                <c:ptCount val="50"/>
                <c:pt idx="0">
                  <c:v>755.31280517577989</c:v>
                </c:pt>
                <c:pt idx="1">
                  <c:v>736.34635925292798</c:v>
                </c:pt>
                <c:pt idx="2">
                  <c:v>657.56111145019599</c:v>
                </c:pt>
                <c:pt idx="3">
                  <c:v>592.18162536621196</c:v>
                </c:pt>
                <c:pt idx="4">
                  <c:v>537.85167694091592</c:v>
                </c:pt>
                <c:pt idx="5">
                  <c:v>490.887184143068</c:v>
                </c:pt>
                <c:pt idx="6">
                  <c:v>449.28424835205197</c:v>
                </c:pt>
                <c:pt idx="7">
                  <c:v>411.89327239990399</c:v>
                </c:pt>
                <c:pt idx="8">
                  <c:v>378.0052185058592</c:v>
                </c:pt>
                <c:pt idx="9">
                  <c:v>347.14344024658203</c:v>
                </c:pt>
                <c:pt idx="10">
                  <c:v>318.95851135253923</c:v>
                </c:pt>
                <c:pt idx="11">
                  <c:v>293.17466735839844</c:v>
                </c:pt>
                <c:pt idx="12">
                  <c:v>269.56212997436518</c:v>
                </c:pt>
                <c:pt idx="13">
                  <c:v>247.92236328125</c:v>
                </c:pt>
                <c:pt idx="14">
                  <c:v>228.07994842529277</c:v>
                </c:pt>
                <c:pt idx="15">
                  <c:v>209.877815246582</c:v>
                </c:pt>
                <c:pt idx="16">
                  <c:v>193.17426681518558</c:v>
                </c:pt>
                <c:pt idx="17">
                  <c:v>177.84088134765639</c:v>
                </c:pt>
                <c:pt idx="18">
                  <c:v>163.7609100341796</c:v>
                </c:pt>
                <c:pt idx="19">
                  <c:v>150.8281230926512</c:v>
                </c:pt>
                <c:pt idx="20">
                  <c:v>138.94573211669919</c:v>
                </c:pt>
                <c:pt idx="21">
                  <c:v>128.025426864624</c:v>
                </c:pt>
                <c:pt idx="22">
                  <c:v>117.98666000366201</c:v>
                </c:pt>
                <c:pt idx="23">
                  <c:v>108.75588417053241</c:v>
                </c:pt>
                <c:pt idx="24">
                  <c:v>100.26595115661641</c:v>
                </c:pt>
                <c:pt idx="25">
                  <c:v>92.455472946166793</c:v>
                </c:pt>
                <c:pt idx="26">
                  <c:v>85.268363952636804</c:v>
                </c:pt>
                <c:pt idx="27">
                  <c:v>78.653326034545998</c:v>
                </c:pt>
                <c:pt idx="28">
                  <c:v>72.563452720642005</c:v>
                </c:pt>
                <c:pt idx="29">
                  <c:v>66.955809593200797</c:v>
                </c:pt>
                <c:pt idx="30">
                  <c:v>61.7911052703856</c:v>
                </c:pt>
                <c:pt idx="31">
                  <c:v>57.033352851867591</c:v>
                </c:pt>
                <c:pt idx="32">
                  <c:v>52.649598121643201</c:v>
                </c:pt>
                <c:pt idx="33">
                  <c:v>48.609652519226003</c:v>
                </c:pt>
                <c:pt idx="34">
                  <c:v>44.88582611084</c:v>
                </c:pt>
                <c:pt idx="35">
                  <c:v>41.452746391296394</c:v>
                </c:pt>
                <c:pt idx="36">
                  <c:v>38.2871413230896</c:v>
                </c:pt>
                <c:pt idx="37">
                  <c:v>35.367655754089355</c:v>
                </c:pt>
                <c:pt idx="38">
                  <c:v>32.674698829650879</c:v>
                </c:pt>
                <c:pt idx="39">
                  <c:v>30.190279483795159</c:v>
                </c:pt>
                <c:pt idx="40">
                  <c:v>27.897884845733635</c:v>
                </c:pt>
                <c:pt idx="41">
                  <c:v>25.782341957092282</c:v>
                </c:pt>
                <c:pt idx="42">
                  <c:v>23.82971048355104</c:v>
                </c:pt>
                <c:pt idx="43">
                  <c:v>22.027187347412116</c:v>
                </c:pt>
                <c:pt idx="44">
                  <c:v>20.362992286682118</c:v>
                </c:pt>
                <c:pt idx="45">
                  <c:v>18.82630467414856</c:v>
                </c:pt>
                <c:pt idx="46">
                  <c:v>17.407164573669441</c:v>
                </c:pt>
                <c:pt idx="47">
                  <c:v>16.096411943435683</c:v>
                </c:pt>
                <c:pt idx="48">
                  <c:v>14.88561868667604</c:v>
                </c:pt>
                <c:pt idx="49">
                  <c:v>13.767027854919441</c:v>
                </c:pt>
              </c:numCache>
            </c:numRef>
          </c:val>
        </c:ser>
        <c:ser>
          <c:idx val="3"/>
          <c:order val="2"/>
          <c:tx>
            <c:strRef>
              <c:f>'Sugden End example'!$Y$16</c:f>
              <c:strCache>
                <c:ptCount val="1"/>
                <c:pt idx="0">
                  <c:v>-33%</c:v>
                </c:pt>
              </c:strCache>
            </c:strRef>
          </c:tx>
          <c:spPr>
            <a:ln>
              <a:solidFill>
                <a:srgbClr val="FF5050"/>
              </a:solidFill>
            </a:ln>
          </c:spPr>
          <c:marker>
            <c:symbol val="none"/>
          </c:marker>
          <c:cat>
            <c:numRef>
              <c:f>'Sugden End example'!$V$17:$V$66</c:f>
              <c:numCache>
                <c:formatCode>0</c:formatCode>
                <c:ptCount val="5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pt idx="34">
                  <c:v>2031</c:v>
                </c:pt>
                <c:pt idx="35">
                  <c:v>2032</c:v>
                </c:pt>
                <c:pt idx="36">
                  <c:v>2033</c:v>
                </c:pt>
                <c:pt idx="37">
                  <c:v>2034</c:v>
                </c:pt>
                <c:pt idx="38">
                  <c:v>2035</c:v>
                </c:pt>
                <c:pt idx="39">
                  <c:v>2036</c:v>
                </c:pt>
                <c:pt idx="40">
                  <c:v>2037</c:v>
                </c:pt>
                <c:pt idx="41">
                  <c:v>2038</c:v>
                </c:pt>
                <c:pt idx="42">
                  <c:v>2039</c:v>
                </c:pt>
                <c:pt idx="43">
                  <c:v>2040</c:v>
                </c:pt>
                <c:pt idx="44">
                  <c:v>2041</c:v>
                </c:pt>
                <c:pt idx="45">
                  <c:v>2042</c:v>
                </c:pt>
                <c:pt idx="46">
                  <c:v>2043</c:v>
                </c:pt>
                <c:pt idx="47">
                  <c:v>2044</c:v>
                </c:pt>
                <c:pt idx="48">
                  <c:v>2045</c:v>
                </c:pt>
                <c:pt idx="49">
                  <c:v>2046</c:v>
                </c:pt>
              </c:numCache>
            </c:numRef>
          </c:cat>
          <c:val>
            <c:numRef>
              <c:f>'Sugden End example'!$Y$17:$Y$66</c:f>
              <c:numCache>
                <c:formatCode>0</c:formatCode>
                <c:ptCount val="50"/>
                <c:pt idx="0">
                  <c:v>506.05957946777255</c:v>
                </c:pt>
                <c:pt idx="1">
                  <c:v>493.35206069946179</c:v>
                </c:pt>
                <c:pt idx="2">
                  <c:v>440.56594467163137</c:v>
                </c:pt>
                <c:pt idx="3">
                  <c:v>396.76168899536202</c:v>
                </c:pt>
                <c:pt idx="4">
                  <c:v>360.36062355041366</c:v>
                </c:pt>
                <c:pt idx="5">
                  <c:v>328.89441337585561</c:v>
                </c:pt>
                <c:pt idx="6">
                  <c:v>301.02044639587484</c:v>
                </c:pt>
                <c:pt idx="7">
                  <c:v>275.96849250793571</c:v>
                </c:pt>
                <c:pt idx="8">
                  <c:v>253.2634963989257</c:v>
                </c:pt>
                <c:pt idx="9">
                  <c:v>232.58610496520998</c:v>
                </c:pt>
                <c:pt idx="10">
                  <c:v>213.7022026062013</c:v>
                </c:pt>
                <c:pt idx="11">
                  <c:v>196.42702713012696</c:v>
                </c:pt>
                <c:pt idx="12">
                  <c:v>180.60662708282467</c:v>
                </c:pt>
                <c:pt idx="13">
                  <c:v>166.10798339843751</c:v>
                </c:pt>
                <c:pt idx="14">
                  <c:v>152.81356544494616</c:v>
                </c:pt>
                <c:pt idx="15">
                  <c:v>140.61813621520994</c:v>
                </c:pt>
                <c:pt idx="16">
                  <c:v>129.42675876617434</c:v>
                </c:pt>
                <c:pt idx="17">
                  <c:v>119.1533905029298</c:v>
                </c:pt>
                <c:pt idx="18">
                  <c:v>109.71980972290034</c:v>
                </c:pt>
                <c:pt idx="19">
                  <c:v>101.0548424720763</c:v>
                </c:pt>
                <c:pt idx="20">
                  <c:v>93.093640518188465</c:v>
                </c:pt>
                <c:pt idx="21">
                  <c:v>85.777035999298079</c:v>
                </c:pt>
                <c:pt idx="22">
                  <c:v>79.051062202453551</c:v>
                </c:pt>
                <c:pt idx="23">
                  <c:v>72.866442394256723</c:v>
                </c:pt>
                <c:pt idx="24">
                  <c:v>67.178187274932995</c:v>
                </c:pt>
                <c:pt idx="25">
                  <c:v>61.945166873931754</c:v>
                </c:pt>
                <c:pt idx="26">
                  <c:v>57.129803848266661</c:v>
                </c:pt>
                <c:pt idx="27">
                  <c:v>52.69772844314582</c:v>
                </c:pt>
                <c:pt idx="28">
                  <c:v>48.617513322830149</c:v>
                </c:pt>
                <c:pt idx="29">
                  <c:v>44.860392427444538</c:v>
                </c:pt>
                <c:pt idx="30">
                  <c:v>41.400040531158353</c:v>
                </c:pt>
                <c:pt idx="31">
                  <c:v>38.212346410751287</c:v>
                </c:pt>
                <c:pt idx="32">
                  <c:v>35.275230741500948</c:v>
                </c:pt>
                <c:pt idx="33">
                  <c:v>32.568467187881424</c:v>
                </c:pt>
                <c:pt idx="34">
                  <c:v>30.073503494262802</c:v>
                </c:pt>
                <c:pt idx="35">
                  <c:v>27.773340082168584</c:v>
                </c:pt>
                <c:pt idx="36">
                  <c:v>25.652384686470032</c:v>
                </c:pt>
                <c:pt idx="37">
                  <c:v>23.696329355239868</c:v>
                </c:pt>
                <c:pt idx="38">
                  <c:v>21.89204821586609</c:v>
                </c:pt>
                <c:pt idx="39">
                  <c:v>20.227487254142758</c:v>
                </c:pt>
                <c:pt idx="40">
                  <c:v>18.691582846641538</c:v>
                </c:pt>
                <c:pt idx="41">
                  <c:v>17.27416911125183</c:v>
                </c:pt>
                <c:pt idx="42">
                  <c:v>15.965906023979198</c:v>
                </c:pt>
                <c:pt idx="43">
                  <c:v>14.758215522766118</c:v>
                </c:pt>
                <c:pt idx="44">
                  <c:v>13.64320483207702</c:v>
                </c:pt>
                <c:pt idx="45">
                  <c:v>12.613624131679536</c:v>
                </c:pt>
                <c:pt idx="46">
                  <c:v>11.662800264358525</c:v>
                </c:pt>
                <c:pt idx="47">
                  <c:v>10.784596002101908</c:v>
                </c:pt>
                <c:pt idx="48">
                  <c:v>9.9733645200729466</c:v>
                </c:pt>
                <c:pt idx="49">
                  <c:v>9.2239086627960258</c:v>
                </c:pt>
              </c:numCache>
            </c:numRef>
          </c:val>
        </c:ser>
        <c:marker val="1"/>
        <c:axId val="91473792"/>
        <c:axId val="91484160"/>
      </c:lineChart>
      <c:catAx>
        <c:axId val="91473792"/>
        <c:scaling>
          <c:orientation val="minMax"/>
        </c:scaling>
        <c:axPos val="b"/>
        <c:title>
          <c:tx>
            <c:rich>
              <a:bodyPr/>
              <a:lstStyle/>
              <a:p>
                <a:pPr>
                  <a:defRPr sz="1400" baseline="0"/>
                </a:pPr>
                <a:r>
                  <a:rPr lang="en-GB" sz="1400" b="1" i="0" baseline="0"/>
                  <a:t>Year</a:t>
                </a:r>
                <a:endParaRPr lang="en-GB" sz="1400" baseline="0"/>
              </a:p>
            </c:rich>
          </c:tx>
          <c:layout>
            <c:manualLayout>
              <c:xMode val="edge"/>
              <c:yMode val="edge"/>
              <c:x val="0.48278647463001367"/>
              <c:y val="0.94737885254496368"/>
            </c:manualLayout>
          </c:layout>
        </c:title>
        <c:numFmt formatCode="0" sourceLinked="1"/>
        <c:tickLblPos val="nextTo"/>
        <c:txPr>
          <a:bodyPr/>
          <a:lstStyle/>
          <a:p>
            <a:pPr>
              <a:defRPr sz="1400" baseline="0"/>
            </a:pPr>
            <a:endParaRPr lang="en-US"/>
          </a:p>
        </c:txPr>
        <c:crossAx val="91484160"/>
        <c:crosses val="autoZero"/>
        <c:auto val="1"/>
        <c:lblAlgn val="ctr"/>
        <c:lblOffset val="100"/>
        <c:tickLblSkip val="5"/>
      </c:catAx>
      <c:valAx>
        <c:axId val="91484160"/>
        <c:scaling>
          <c:orientation val="minMax"/>
        </c:scaling>
        <c:axPos val="l"/>
        <c:majorGridlines>
          <c:spPr>
            <a:ln>
              <a:solidFill>
                <a:sysClr val="window" lastClr="FFFFFF">
                  <a:lumMod val="75000"/>
                  <a:alpha val="40000"/>
                </a:sysClr>
              </a:solidFill>
            </a:ln>
          </c:spPr>
        </c:majorGridlines>
        <c:title>
          <c:tx>
            <c:rich>
              <a:bodyPr rot="-5400000" vert="horz"/>
              <a:lstStyle/>
              <a:p>
                <a:pPr>
                  <a:defRPr/>
                </a:pPr>
                <a:r>
                  <a:rPr lang="en-GB" sz="1400"/>
                  <a:t>Total LFG generated </a:t>
                </a:r>
                <a:r>
                  <a:rPr lang="en-GB" sz="1400">
                    <a:latin typeface="Calibri"/>
                    <a:cs typeface="Calibri"/>
                  </a:rPr>
                  <a:t/>
                </a:r>
                <a:br>
                  <a:rPr lang="en-GB" sz="1400">
                    <a:latin typeface="Calibri"/>
                    <a:cs typeface="Calibri"/>
                  </a:rPr>
                </a:br>
                <a:r>
                  <a:rPr lang="en-GB" sz="1400"/>
                  <a:t>(m</a:t>
                </a:r>
                <a:r>
                  <a:rPr lang="en-GB" sz="1400" baseline="30000"/>
                  <a:t>3</a:t>
                </a:r>
                <a:r>
                  <a:rPr lang="en-GB" sz="1400"/>
                  <a:t> hr</a:t>
                </a:r>
                <a:r>
                  <a:rPr lang="en-GB" sz="1400" baseline="30000"/>
                  <a:t>-1</a:t>
                </a:r>
                <a:r>
                  <a:rPr lang="en-GB" sz="1400"/>
                  <a:t>)</a:t>
                </a:r>
              </a:p>
            </c:rich>
          </c:tx>
          <c:layout>
            <c:manualLayout>
              <c:xMode val="edge"/>
              <c:yMode val="edge"/>
              <c:x val="1.1584444878169961E-2"/>
              <c:y val="0.31878236123562426"/>
            </c:manualLayout>
          </c:layout>
        </c:title>
        <c:numFmt formatCode="0" sourceLinked="1"/>
        <c:tickLblPos val="nextTo"/>
        <c:txPr>
          <a:bodyPr/>
          <a:lstStyle/>
          <a:p>
            <a:pPr>
              <a:defRPr sz="1400" baseline="0"/>
            </a:pPr>
            <a:endParaRPr lang="en-US"/>
          </a:p>
        </c:txPr>
        <c:crossAx val="91473792"/>
        <c:crosses val="autoZero"/>
        <c:crossBetween val="between"/>
      </c:valAx>
      <c:valAx>
        <c:axId val="91486080"/>
        <c:scaling>
          <c:orientation val="minMax"/>
          <c:max val="1"/>
          <c:min val="0"/>
        </c:scaling>
        <c:axPos val="r"/>
        <c:numFmt formatCode="0" sourceLinked="1"/>
        <c:majorTickMark val="none"/>
        <c:tickLblPos val="none"/>
        <c:crossAx val="91487616"/>
        <c:crosses val="max"/>
        <c:crossBetween val="between"/>
      </c:valAx>
      <c:catAx>
        <c:axId val="91487616"/>
        <c:scaling>
          <c:orientation val="minMax"/>
        </c:scaling>
        <c:delete val="1"/>
        <c:axPos val="b"/>
        <c:numFmt formatCode="0" sourceLinked="1"/>
        <c:tickLblPos val="none"/>
        <c:crossAx val="91486080"/>
        <c:crosses val="autoZero"/>
        <c:auto val="1"/>
        <c:lblAlgn val="ctr"/>
        <c:lblOffset val="100"/>
      </c:catAx>
    </c:plotArea>
    <c:legend>
      <c:legendPos val="r"/>
      <c:layout>
        <c:manualLayout>
          <c:xMode val="edge"/>
          <c:yMode val="edge"/>
          <c:x val="0.61879757914053435"/>
          <c:y val="0.15337965042462171"/>
          <c:w val="0.31943823618561851"/>
          <c:h val="0.42521185523703492"/>
        </c:manualLayout>
      </c:layout>
      <c:overlay val="1"/>
      <c:spPr>
        <a:solidFill>
          <a:schemeClr val="bg1"/>
        </a:solidFill>
        <a:ln>
          <a:solidFill>
            <a:schemeClr val="bg1">
              <a:lumMod val="75000"/>
            </a:schemeClr>
          </a:solidFill>
        </a:ln>
      </c:spPr>
      <c:txPr>
        <a:bodyPr/>
        <a:lstStyle/>
        <a:p>
          <a:pPr>
            <a:defRPr sz="1600" baseline="0"/>
          </a:pPr>
          <a:endParaRPr lang="en-US"/>
        </a:p>
      </c:txPr>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Annual GHG source estimate</a:t>
            </a:r>
          </a:p>
        </c:rich>
      </c:tx>
    </c:title>
    <c:plotArea>
      <c:layout>
        <c:manualLayout>
          <c:layoutTarget val="inner"/>
          <c:xMode val="edge"/>
          <c:yMode val="edge"/>
          <c:x val="0.15030511064261601"/>
          <c:y val="0.13335050932486187"/>
          <c:w val="0.8227871214450545"/>
          <c:h val="0.76487039823184777"/>
        </c:manualLayout>
      </c:layout>
      <c:areaChart>
        <c:grouping val="standard"/>
        <c:ser>
          <c:idx val="5"/>
          <c:order val="0"/>
          <c:tx>
            <c:strRef>
              <c:f>'Sugden End example'!$AC$16</c:f>
              <c:strCache>
                <c:ptCount val="1"/>
                <c:pt idx="0">
                  <c:v>Total GHG potential (tCO2e yr-1) (from CH4)</c:v>
                </c:pt>
              </c:strCache>
            </c:strRef>
          </c:tx>
          <c:spPr>
            <a:solidFill>
              <a:srgbClr val="FF0000"/>
            </a:solidFill>
            <a:ln>
              <a:noFill/>
            </a:ln>
          </c:spPr>
          <c:cat>
            <c:numRef>
              <c:f>'Sugden End example'!$V$17:$V$66</c:f>
              <c:numCache>
                <c:formatCode>0</c:formatCode>
                <c:ptCount val="5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pt idx="34">
                  <c:v>2031</c:v>
                </c:pt>
                <c:pt idx="35">
                  <c:v>2032</c:v>
                </c:pt>
                <c:pt idx="36">
                  <c:v>2033</c:v>
                </c:pt>
                <c:pt idx="37">
                  <c:v>2034</c:v>
                </c:pt>
                <c:pt idx="38">
                  <c:v>2035</c:v>
                </c:pt>
                <c:pt idx="39">
                  <c:v>2036</c:v>
                </c:pt>
                <c:pt idx="40">
                  <c:v>2037</c:v>
                </c:pt>
                <c:pt idx="41">
                  <c:v>2038</c:v>
                </c:pt>
                <c:pt idx="42">
                  <c:v>2039</c:v>
                </c:pt>
                <c:pt idx="43">
                  <c:v>2040</c:v>
                </c:pt>
                <c:pt idx="44">
                  <c:v>2041</c:v>
                </c:pt>
                <c:pt idx="45">
                  <c:v>2042</c:v>
                </c:pt>
                <c:pt idx="46">
                  <c:v>2043</c:v>
                </c:pt>
                <c:pt idx="47">
                  <c:v>2044</c:v>
                </c:pt>
                <c:pt idx="48">
                  <c:v>2045</c:v>
                </c:pt>
                <c:pt idx="49">
                  <c:v>2046</c:v>
                </c:pt>
              </c:numCache>
            </c:numRef>
          </c:cat>
          <c:val>
            <c:numRef>
              <c:f>'Sugden End example'!$AC$17:$AC$66</c:f>
              <c:numCache>
                <c:formatCode>0</c:formatCode>
                <c:ptCount val="50"/>
                <c:pt idx="0">
                  <c:v>59218.034551391494</c:v>
                </c:pt>
                <c:pt idx="1">
                  <c:v>57731.027258148075</c:v>
                </c:pt>
                <c:pt idx="2">
                  <c:v>51554.106259918277</c:v>
                </c:pt>
                <c:pt idx="3">
                  <c:v>46428.223791961747</c:v>
                </c:pt>
                <c:pt idx="4">
                  <c:v>42168.647175521699</c:v>
                </c:pt>
                <c:pt idx="5">
                  <c:v>38486.537011184817</c:v>
                </c:pt>
                <c:pt idx="6">
                  <c:v>35224.783639297581</c:v>
                </c:pt>
                <c:pt idx="7">
                  <c:v>32293.256342697277</c:v>
                </c:pt>
                <c:pt idx="8">
                  <c:v>29636.365141296374</c:v>
                </c:pt>
                <c:pt idx="9">
                  <c:v>27216.740002212533</c:v>
                </c:pt>
                <c:pt idx="10">
                  <c:v>25006.985207061782</c:v>
                </c:pt>
                <c:pt idx="11">
                  <c:v>22985.480270233154</c:v>
                </c:pt>
                <c:pt idx="12">
                  <c:v>21134.210114250178</c:v>
                </c:pt>
                <c:pt idx="13">
                  <c:v>19437.609125976564</c:v>
                </c:pt>
                <c:pt idx="14">
                  <c:v>17881.924116439804</c:v>
                </c:pt>
                <c:pt idx="15">
                  <c:v>16454.840470962521</c:v>
                </c:pt>
                <c:pt idx="16">
                  <c:v>15145.248866844177</c:v>
                </c:pt>
                <c:pt idx="17">
                  <c:v>13943.080779418955</c:v>
                </c:pt>
                <c:pt idx="18">
                  <c:v>12839.182868499749</c:v>
                </c:pt>
                <c:pt idx="19">
                  <c:v>11825.226506710038</c:v>
                </c:pt>
                <c:pt idx="20">
                  <c:v>10893.623289413452</c:v>
                </c:pt>
                <c:pt idx="21">
                  <c:v>10037.449517040252</c:v>
                </c:pt>
                <c:pt idx="22">
                  <c:v>9250.3901176071086</c:v>
                </c:pt>
                <c:pt idx="23">
                  <c:v>8526.6788307380793</c:v>
                </c:pt>
                <c:pt idx="24">
                  <c:v>7861.0511025810383</c:v>
                </c:pt>
                <c:pt idx="25">
                  <c:v>7248.6939899253684</c:v>
                </c:pt>
                <c:pt idx="26">
                  <c:v>6685.2102706146306</c:v>
                </c:pt>
                <c:pt idx="27">
                  <c:v>6166.5780677604762</c:v>
                </c:pt>
                <c:pt idx="28">
                  <c:v>5689.119820203774</c:v>
                </c:pt>
                <c:pt idx="29">
                  <c:v>5249.4693837261284</c:v>
                </c:pt>
                <c:pt idx="30">
                  <c:v>4844.5462354087722</c:v>
                </c:pt>
                <c:pt idx="31">
                  <c:v>4471.5289302921228</c:v>
                </c:pt>
                <c:pt idx="32">
                  <c:v>4127.8337919330706</c:v>
                </c:pt>
                <c:pt idx="33">
                  <c:v>3811.0939768123567</c:v>
                </c:pt>
                <c:pt idx="34">
                  <c:v>3519.1385387420764</c:v>
                </c:pt>
                <c:pt idx="35">
                  <c:v>3249.9782225704193</c:v>
                </c:pt>
                <c:pt idx="36">
                  <c:v>3001.7884540128707</c:v>
                </c:pt>
                <c:pt idx="37">
                  <c:v>2772.8949464321136</c:v>
                </c:pt>
                <c:pt idx="38">
                  <c:v>2561.7617376422882</c:v>
                </c:pt>
                <c:pt idx="39">
                  <c:v>2366.9782920885082</c:v>
                </c:pt>
                <c:pt idx="40">
                  <c:v>2187.2499676752086</c:v>
                </c:pt>
                <c:pt idx="41">
                  <c:v>2021.3871741199493</c:v>
                </c:pt>
                <c:pt idx="42">
                  <c:v>1868.2969613313685</c:v>
                </c:pt>
                <c:pt idx="43">
                  <c:v>1726.9755424118048</c:v>
                </c:pt>
                <c:pt idx="44">
                  <c:v>1596.4993212604516</c:v>
                </c:pt>
                <c:pt idx="45">
                  <c:v>1476.0199390625953</c:v>
                </c:pt>
                <c:pt idx="46">
                  <c:v>1364.7565169048314</c:v>
                </c:pt>
                <c:pt idx="47">
                  <c:v>1261.9908891892442</c:v>
                </c:pt>
                <c:pt idx="48">
                  <c:v>1167.0622762727749</c:v>
                </c:pt>
                <c:pt idx="49">
                  <c:v>1079.3625178813938</c:v>
                </c:pt>
              </c:numCache>
            </c:numRef>
          </c:val>
        </c:ser>
        <c:axId val="91591808"/>
        <c:axId val="91593728"/>
      </c:areaChart>
      <c:barChart>
        <c:barDir val="col"/>
        <c:grouping val="clustered"/>
        <c:ser>
          <c:idx val="0"/>
          <c:order val="1"/>
          <c:tx>
            <c:v>Current Year</c:v>
          </c:tx>
          <c:spPr>
            <a:ln w="25400">
              <a:noFill/>
            </a:ln>
          </c:spPr>
          <c:cat>
            <c:numRef>
              <c:f>'Sugden End example'!$V$17:$V$66</c:f>
              <c:numCache>
                <c:formatCode>0</c:formatCode>
                <c:ptCount val="5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pt idx="27">
                  <c:v>2024</c:v>
                </c:pt>
                <c:pt idx="28">
                  <c:v>2025</c:v>
                </c:pt>
                <c:pt idx="29">
                  <c:v>2026</c:v>
                </c:pt>
                <c:pt idx="30">
                  <c:v>2027</c:v>
                </c:pt>
                <c:pt idx="31">
                  <c:v>2028</c:v>
                </c:pt>
                <c:pt idx="32">
                  <c:v>2029</c:v>
                </c:pt>
                <c:pt idx="33">
                  <c:v>2030</c:v>
                </c:pt>
                <c:pt idx="34">
                  <c:v>2031</c:v>
                </c:pt>
                <c:pt idx="35">
                  <c:v>2032</c:v>
                </c:pt>
                <c:pt idx="36">
                  <c:v>2033</c:v>
                </c:pt>
                <c:pt idx="37">
                  <c:v>2034</c:v>
                </c:pt>
                <c:pt idx="38">
                  <c:v>2035</c:v>
                </c:pt>
                <c:pt idx="39">
                  <c:v>2036</c:v>
                </c:pt>
                <c:pt idx="40">
                  <c:v>2037</c:v>
                </c:pt>
                <c:pt idx="41">
                  <c:v>2038</c:v>
                </c:pt>
                <c:pt idx="42">
                  <c:v>2039</c:v>
                </c:pt>
                <c:pt idx="43">
                  <c:v>2040</c:v>
                </c:pt>
                <c:pt idx="44">
                  <c:v>2041</c:v>
                </c:pt>
                <c:pt idx="45">
                  <c:v>2042</c:v>
                </c:pt>
                <c:pt idx="46">
                  <c:v>2043</c:v>
                </c:pt>
                <c:pt idx="47">
                  <c:v>2044</c:v>
                </c:pt>
                <c:pt idx="48">
                  <c:v>2045</c:v>
                </c:pt>
                <c:pt idx="49">
                  <c:v>2046</c:v>
                </c:pt>
              </c:numCache>
            </c:numRef>
          </c:cat>
          <c:val>
            <c:numRef>
              <c:f>'Sugden End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1605632"/>
        <c:axId val="91604096"/>
      </c:barChart>
      <c:catAx>
        <c:axId val="91591808"/>
        <c:scaling>
          <c:orientation val="minMax"/>
        </c:scaling>
        <c:axPos val="b"/>
        <c:title>
          <c:tx>
            <c:rich>
              <a:bodyPr/>
              <a:lstStyle/>
              <a:p>
                <a:pPr>
                  <a:defRPr sz="1400" baseline="0"/>
                </a:pPr>
                <a:r>
                  <a:rPr lang="en-GB" sz="1400" baseline="0"/>
                  <a:t>Year</a:t>
                </a:r>
              </a:p>
            </c:rich>
          </c:tx>
          <c:layout>
            <c:manualLayout>
              <c:xMode val="edge"/>
              <c:yMode val="edge"/>
              <c:x val="0.48018054135190491"/>
              <c:y val="0.94755056580749697"/>
            </c:manualLayout>
          </c:layout>
        </c:title>
        <c:numFmt formatCode="0" sourceLinked="1"/>
        <c:tickLblPos val="nextTo"/>
        <c:txPr>
          <a:bodyPr/>
          <a:lstStyle/>
          <a:p>
            <a:pPr>
              <a:defRPr sz="1400" baseline="0"/>
            </a:pPr>
            <a:endParaRPr lang="en-US"/>
          </a:p>
        </c:txPr>
        <c:crossAx val="91593728"/>
        <c:crosses val="autoZero"/>
        <c:auto val="1"/>
        <c:lblAlgn val="ctr"/>
        <c:lblOffset val="100"/>
        <c:tickLblSkip val="5"/>
      </c:catAx>
      <c:valAx>
        <c:axId val="91593728"/>
        <c:scaling>
          <c:orientation val="minMax"/>
          <c:min val="0"/>
        </c:scaling>
        <c:axPos val="l"/>
        <c:majorGridlines>
          <c:spPr>
            <a:ln>
              <a:solidFill>
                <a:sysClr val="window" lastClr="FFFFFF">
                  <a:lumMod val="75000"/>
                  <a:alpha val="40000"/>
                </a:sysClr>
              </a:solidFill>
            </a:ln>
          </c:spPr>
        </c:majorGridlines>
        <c:title>
          <c:tx>
            <c:rich>
              <a:bodyPr rot="-5400000" vert="horz"/>
              <a:lstStyle/>
              <a:p>
                <a:pPr>
                  <a:defRPr sz="1400"/>
                </a:pPr>
                <a:r>
                  <a:rPr lang="en-GB" sz="1400"/>
                  <a:t>Total  GHG potential </a:t>
                </a:r>
                <a:br>
                  <a:rPr lang="en-GB" sz="1400"/>
                </a:br>
                <a:r>
                  <a:rPr lang="en-GB" sz="1400"/>
                  <a:t>(tCO</a:t>
                </a:r>
                <a:r>
                  <a:rPr lang="en-GB" sz="1400" baseline="-25000"/>
                  <a:t>2</a:t>
                </a:r>
                <a:r>
                  <a:rPr lang="en-GB" sz="1400"/>
                  <a:t>e yr</a:t>
                </a:r>
                <a:r>
                  <a:rPr lang="en-GB" sz="1400" baseline="30000"/>
                  <a:t>-1</a:t>
                </a:r>
                <a:r>
                  <a:rPr lang="en-GB" sz="1400"/>
                  <a:t>)</a:t>
                </a:r>
              </a:p>
            </c:rich>
          </c:tx>
          <c:layout>
            <c:manualLayout>
              <c:xMode val="edge"/>
              <c:yMode val="edge"/>
              <c:x val="2.3311609436634399E-2"/>
              <c:y val="0.35572363631559945"/>
            </c:manualLayout>
          </c:layout>
        </c:title>
        <c:numFmt formatCode="#,##0" sourceLinked="0"/>
        <c:tickLblPos val="nextTo"/>
        <c:txPr>
          <a:bodyPr/>
          <a:lstStyle/>
          <a:p>
            <a:pPr>
              <a:defRPr sz="1400" baseline="0"/>
            </a:pPr>
            <a:endParaRPr lang="en-US"/>
          </a:p>
        </c:txPr>
        <c:crossAx val="91591808"/>
        <c:crosses val="autoZero"/>
        <c:crossBetween val="midCat"/>
      </c:valAx>
      <c:valAx>
        <c:axId val="91604096"/>
        <c:scaling>
          <c:orientation val="minMax"/>
          <c:max val="1"/>
          <c:min val="0"/>
        </c:scaling>
        <c:axPos val="r"/>
        <c:numFmt formatCode="0" sourceLinked="1"/>
        <c:majorTickMark val="none"/>
        <c:tickLblPos val="none"/>
        <c:crossAx val="91605632"/>
        <c:crosses val="max"/>
        <c:crossBetween val="between"/>
      </c:valAx>
      <c:catAx>
        <c:axId val="91605632"/>
        <c:scaling>
          <c:orientation val="minMax"/>
        </c:scaling>
        <c:delete val="1"/>
        <c:axPos val="b"/>
        <c:numFmt formatCode="0" sourceLinked="1"/>
        <c:tickLblPos val="none"/>
        <c:crossAx val="91604096"/>
        <c:crosses val="autoZero"/>
        <c:auto val="1"/>
        <c:lblAlgn val="ctr"/>
        <c:lblOffset val="100"/>
      </c:catAx>
    </c:plotArea>
    <c:legend>
      <c:legendPos val="r"/>
      <c:layout>
        <c:manualLayout>
          <c:xMode val="edge"/>
          <c:yMode val="edge"/>
          <c:x val="0.67706832315158905"/>
          <c:y val="0.15808321095138891"/>
          <c:w val="0.28548996082514289"/>
          <c:h val="0.27613333248017624"/>
        </c:manualLayout>
      </c:layout>
      <c:overlay val="1"/>
      <c:spPr>
        <a:solidFill>
          <a:sysClr val="window" lastClr="FFFFFF"/>
        </a:solidFill>
        <a:ln>
          <a:solidFill>
            <a:sysClr val="window" lastClr="FFFFFF">
              <a:lumMod val="75000"/>
            </a:sysClr>
          </a:solidFill>
        </a:ln>
      </c:spPr>
      <c:txPr>
        <a:bodyPr/>
        <a:lstStyle/>
        <a:p>
          <a:pPr>
            <a:defRPr sz="1600" baseline="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Operational LFG generation</a:t>
            </a:r>
            <a:r>
              <a:rPr lang="en-GB" sz="2400" baseline="0"/>
              <a:t> </a:t>
            </a:r>
            <a:r>
              <a:rPr lang="en-GB" sz="2400"/>
              <a:t>estimate</a:t>
            </a:r>
          </a:p>
        </c:rich>
      </c:tx>
    </c:title>
    <c:plotArea>
      <c:layout>
        <c:manualLayout>
          <c:layoutTarget val="inner"/>
          <c:xMode val="edge"/>
          <c:yMode val="edge"/>
          <c:x val="0.11178834515481781"/>
          <c:y val="0.11307045974091984"/>
          <c:w val="0.8697619549500577"/>
          <c:h val="0.76694843789688183"/>
        </c:manualLayout>
      </c:layout>
      <c:barChart>
        <c:barDir val="col"/>
        <c:grouping val="clustered"/>
        <c:ser>
          <c:idx val="0"/>
          <c:order val="3"/>
          <c:tx>
            <c:v>Current Year</c:v>
          </c:tx>
          <c:cat>
            <c:numRef>
              <c:f>'Docking 2 example'!$V$17:$V$66</c:f>
              <c:numCache>
                <c:formatCode>0</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'Docking 2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2047232"/>
        <c:axId val="92045696"/>
      </c:barChart>
      <c:lineChart>
        <c:grouping val="standard"/>
        <c:ser>
          <c:idx val="2"/>
          <c:order val="0"/>
          <c:tx>
            <c:strRef>
              <c:f>'Docking 2 example'!$X$16</c:f>
              <c:strCache>
                <c:ptCount val="1"/>
                <c:pt idx="0">
                  <c:v>+33%</c:v>
                </c:pt>
              </c:strCache>
            </c:strRef>
          </c:tx>
          <c:spPr>
            <a:ln>
              <a:solidFill>
                <a:srgbClr val="FF5050"/>
              </a:solidFill>
            </a:ln>
          </c:spPr>
          <c:marker>
            <c:symbol val="none"/>
          </c:marker>
          <c:cat>
            <c:numRef>
              <c:f>'Docking 2 example'!$V$17:$V$66</c:f>
              <c:numCache>
                <c:formatCode>0</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'Docking 2 example'!$X$17:$X$66</c:f>
              <c:numCache>
                <c:formatCode>0</c:formatCode>
                <c:ptCount val="50"/>
                <c:pt idx="0">
                  <c:v>631.38109222412186</c:v>
                </c:pt>
                <c:pt idx="1">
                  <c:v>622.41844757080139</c:v>
                </c:pt>
                <c:pt idx="2">
                  <c:v>551.73995513916032</c:v>
                </c:pt>
                <c:pt idx="3">
                  <c:v>494.20093566894451</c:v>
                </c:pt>
                <c:pt idx="4">
                  <c:v>447.32083038330131</c:v>
                </c:pt>
                <c:pt idx="5">
                  <c:v>407.32715240478421</c:v>
                </c:pt>
                <c:pt idx="6">
                  <c:v>372.19535339355554</c:v>
                </c:pt>
                <c:pt idx="7">
                  <c:v>340.78709167480554</c:v>
                </c:pt>
                <c:pt idx="8">
                  <c:v>312.41865600585896</c:v>
                </c:pt>
                <c:pt idx="9">
                  <c:v>286.64395980834934</c:v>
                </c:pt>
                <c:pt idx="10">
                  <c:v>263.14537872314531</c:v>
                </c:pt>
                <c:pt idx="11">
                  <c:v>241.6780836486827</c:v>
                </c:pt>
                <c:pt idx="12">
                  <c:v>222.04154769897545</c:v>
                </c:pt>
                <c:pt idx="13">
                  <c:v>204.06448791503911</c:v>
                </c:pt>
                <c:pt idx="14">
                  <c:v>187.59662582397459</c:v>
                </c:pt>
                <c:pt idx="15">
                  <c:v>172.50414154052734</c:v>
                </c:pt>
                <c:pt idx="16">
                  <c:v>158.66662963867182</c:v>
                </c:pt>
                <c:pt idx="17">
                  <c:v>145.97519149780277</c:v>
                </c:pt>
                <c:pt idx="18">
                  <c:v>134.33108573913583</c:v>
                </c:pt>
                <c:pt idx="19">
                  <c:v>123.64454101562501</c:v>
                </c:pt>
                <c:pt idx="20">
                  <c:v>113.83386306762692</c:v>
                </c:pt>
                <c:pt idx="21">
                  <c:v>104.82465339660652</c:v>
                </c:pt>
                <c:pt idx="22">
                  <c:v>96.549088821411218</c:v>
                </c:pt>
                <c:pt idx="23">
                  <c:v>88.945332946777341</c:v>
                </c:pt>
                <c:pt idx="24">
                  <c:v>81.956967926025428</c:v>
                </c:pt>
                <c:pt idx="25">
                  <c:v>75.532507400512714</c:v>
                </c:pt>
                <c:pt idx="26">
                  <c:v>69.624929733276389</c:v>
                </c:pt>
                <c:pt idx="27">
                  <c:v>64.191292419433552</c:v>
                </c:pt>
                <c:pt idx="28">
                  <c:v>59.192351570129432</c:v>
                </c:pt>
                <c:pt idx="29">
                  <c:v>54.592237205505405</c:v>
                </c:pt>
                <c:pt idx="30">
                  <c:v>50.358153915405239</c:v>
                </c:pt>
                <c:pt idx="31">
                  <c:v>46.46009166717527</c:v>
                </c:pt>
                <c:pt idx="32">
                  <c:v>42.870597496032744</c:v>
                </c:pt>
                <c:pt idx="33">
                  <c:v>39.564534511566265</c:v>
                </c:pt>
                <c:pt idx="34">
                  <c:v>36.518891639709572</c:v>
                </c:pt>
                <c:pt idx="35">
                  <c:v>33.712588291168139</c:v>
                </c:pt>
                <c:pt idx="36">
                  <c:v>31.126304397583013</c:v>
                </c:pt>
                <c:pt idx="37">
                  <c:v>28.742335815429705</c:v>
                </c:pt>
                <c:pt idx="38">
                  <c:v>26.54444719314581</c:v>
                </c:pt>
                <c:pt idx="39">
                  <c:v>24.517750205993643</c:v>
                </c:pt>
                <c:pt idx="40">
                  <c:v>22.648581790924119</c:v>
                </c:pt>
                <c:pt idx="41">
                  <c:v>20.92440648078918</c:v>
                </c:pt>
                <c:pt idx="42">
                  <c:v>19.333713665008549</c:v>
                </c:pt>
                <c:pt idx="43">
                  <c:v>17.865936412811283</c:v>
                </c:pt>
                <c:pt idx="44">
                  <c:v>16.511366491317759</c:v>
                </c:pt>
                <c:pt idx="45">
                  <c:v>15.261084604263312</c:v>
                </c:pt>
                <c:pt idx="46">
                  <c:v>14.10689443588257</c:v>
                </c:pt>
                <c:pt idx="47">
                  <c:v>13.041259231567393</c:v>
                </c:pt>
                <c:pt idx="48">
                  <c:v>12.057253599166874</c:v>
                </c:pt>
                <c:pt idx="49">
                  <c:v>11.148501358032222</c:v>
                </c:pt>
              </c:numCache>
            </c:numRef>
          </c:val>
        </c:ser>
        <c:ser>
          <c:idx val="1"/>
          <c:order val="1"/>
          <c:tx>
            <c:strRef>
              <c:f>'Docking 2 example'!$W$16</c:f>
              <c:strCache>
                <c:ptCount val="1"/>
                <c:pt idx="0">
                  <c:v>Total LFG generated (m3 hr-1) (50% CH4)</c:v>
                </c:pt>
              </c:strCache>
            </c:strRef>
          </c:tx>
          <c:spPr>
            <a:ln w="38100">
              <a:solidFill>
                <a:srgbClr val="FF0000"/>
              </a:solidFill>
            </a:ln>
          </c:spPr>
          <c:marker>
            <c:symbol val="none"/>
          </c:marker>
          <c:cat>
            <c:numRef>
              <c:f>'Docking 2 example'!$V$17:$V$66</c:f>
              <c:numCache>
                <c:formatCode>0</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'Docking 2 example'!$W$17:$W$66</c:f>
              <c:numCache>
                <c:formatCode>0</c:formatCode>
                <c:ptCount val="50"/>
                <c:pt idx="0">
                  <c:v>474.72262573242239</c:v>
                </c:pt>
                <c:pt idx="1">
                  <c:v>467.98379516601602</c:v>
                </c:pt>
                <c:pt idx="2">
                  <c:v>414.84207153320318</c:v>
                </c:pt>
                <c:pt idx="3">
                  <c:v>371.57965087890562</c:v>
                </c:pt>
                <c:pt idx="4">
                  <c:v>336.33145141601602</c:v>
                </c:pt>
                <c:pt idx="5">
                  <c:v>306.26101684570239</c:v>
                </c:pt>
                <c:pt idx="6">
                  <c:v>279.84613037109438</c:v>
                </c:pt>
                <c:pt idx="7">
                  <c:v>256.23089599609438</c:v>
                </c:pt>
                <c:pt idx="8">
                  <c:v>234.90124511718719</c:v>
                </c:pt>
                <c:pt idx="9">
                  <c:v>215.52177429199196</c:v>
                </c:pt>
                <c:pt idx="10">
                  <c:v>197.85366821289119</c:v>
                </c:pt>
                <c:pt idx="11">
                  <c:v>181.71284484863361</c:v>
                </c:pt>
                <c:pt idx="12">
                  <c:v>166.94853210449281</c:v>
                </c:pt>
                <c:pt idx="13">
                  <c:v>153.43194580078128</c:v>
                </c:pt>
                <c:pt idx="14">
                  <c:v>141.05009460449216</c:v>
                </c:pt>
                <c:pt idx="15">
                  <c:v>129.70236206054687</c:v>
                </c:pt>
                <c:pt idx="16">
                  <c:v>119.29821777343746</c:v>
                </c:pt>
                <c:pt idx="17">
                  <c:v>109.75578308105472</c:v>
                </c:pt>
                <c:pt idx="18">
                  <c:v>101.0008163452149</c:v>
                </c:pt>
                <c:pt idx="19">
                  <c:v>92.9658203125</c:v>
                </c:pt>
                <c:pt idx="20">
                  <c:v>85.589370727539034</c:v>
                </c:pt>
                <c:pt idx="21">
                  <c:v>78.815528869628963</c:v>
                </c:pt>
                <c:pt idx="22">
                  <c:v>72.593299865722713</c:v>
                </c:pt>
                <c:pt idx="23">
                  <c:v>66.876190185546875</c:v>
                </c:pt>
                <c:pt idx="24">
                  <c:v>61.621780395507841</c:v>
                </c:pt>
                <c:pt idx="25">
                  <c:v>56.79135894775392</c:v>
                </c:pt>
                <c:pt idx="26">
                  <c:v>52.349571228027358</c:v>
                </c:pt>
                <c:pt idx="27">
                  <c:v>48.264129638671839</c:v>
                </c:pt>
                <c:pt idx="28">
                  <c:v>44.505527496337919</c:v>
                </c:pt>
                <c:pt idx="29">
                  <c:v>41.046794891357443</c:v>
                </c:pt>
                <c:pt idx="30">
                  <c:v>37.86327362060544</c:v>
                </c:pt>
                <c:pt idx="31">
                  <c:v>34.932399749755838</c:v>
                </c:pt>
                <c:pt idx="32">
                  <c:v>32.233531951904318</c:v>
                </c:pt>
                <c:pt idx="33">
                  <c:v>29.747770309448317</c:v>
                </c:pt>
                <c:pt idx="34">
                  <c:v>27.457813262939524</c:v>
                </c:pt>
                <c:pt idx="35">
                  <c:v>25.347810745239201</c:v>
                </c:pt>
                <c:pt idx="36">
                  <c:v>23.40323638916016</c:v>
                </c:pt>
                <c:pt idx="37">
                  <c:v>21.610778808593761</c:v>
                </c:pt>
                <c:pt idx="38">
                  <c:v>19.958230972290082</c:v>
                </c:pt>
                <c:pt idx="39">
                  <c:v>18.43439865112304</c:v>
                </c:pt>
                <c:pt idx="40">
                  <c:v>17.029008865356481</c:v>
                </c:pt>
                <c:pt idx="41">
                  <c:v>15.732636451721186</c:v>
                </c:pt>
                <c:pt idx="42">
                  <c:v>14.536626815795902</c:v>
                </c:pt>
                <c:pt idx="43">
                  <c:v>13.433034896850589</c:v>
                </c:pt>
                <c:pt idx="44">
                  <c:v>12.414561271667488</c:v>
                </c:pt>
                <c:pt idx="45">
                  <c:v>11.474499702453617</c:v>
                </c:pt>
                <c:pt idx="46">
                  <c:v>10.606687545776367</c:v>
                </c:pt>
                <c:pt idx="47">
                  <c:v>9.8054580688476634</c:v>
                </c:pt>
                <c:pt idx="48">
                  <c:v>9.0656042098999041</c:v>
                </c:pt>
                <c:pt idx="49">
                  <c:v>8.3823318481445277</c:v>
                </c:pt>
              </c:numCache>
            </c:numRef>
          </c:val>
        </c:ser>
        <c:ser>
          <c:idx val="3"/>
          <c:order val="2"/>
          <c:tx>
            <c:strRef>
              <c:f>'Docking 2 example'!$Y$16</c:f>
              <c:strCache>
                <c:ptCount val="1"/>
                <c:pt idx="0">
                  <c:v>-33%</c:v>
                </c:pt>
              </c:strCache>
            </c:strRef>
          </c:tx>
          <c:spPr>
            <a:ln>
              <a:solidFill>
                <a:srgbClr val="FF5050"/>
              </a:solidFill>
            </a:ln>
          </c:spPr>
          <c:marker>
            <c:symbol val="none"/>
          </c:marker>
          <c:cat>
            <c:numRef>
              <c:f>'Docking 2 example'!$V$17:$V$66</c:f>
              <c:numCache>
                <c:formatCode>0</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'Docking 2 example'!$Y$17:$Y$66</c:f>
              <c:numCache>
                <c:formatCode>0</c:formatCode>
                <c:ptCount val="50"/>
                <c:pt idx="0">
                  <c:v>318.06415924072303</c:v>
                </c:pt>
                <c:pt idx="1">
                  <c:v>313.54914276123077</c:v>
                </c:pt>
                <c:pt idx="2">
                  <c:v>277.94418792724616</c:v>
                </c:pt>
                <c:pt idx="3">
                  <c:v>248.9583660888668</c:v>
                </c:pt>
                <c:pt idx="4">
                  <c:v>225.34207244873076</c:v>
                </c:pt>
                <c:pt idx="5">
                  <c:v>205.19488128662061</c:v>
                </c:pt>
                <c:pt idx="6">
                  <c:v>187.49690734863324</c:v>
                </c:pt>
                <c:pt idx="7">
                  <c:v>171.67470031738324</c:v>
                </c:pt>
                <c:pt idx="8">
                  <c:v>157.38383422851541</c:v>
                </c:pt>
                <c:pt idx="9">
                  <c:v>144.39958877563461</c:v>
                </c:pt>
                <c:pt idx="10">
                  <c:v>132.5619577026371</c:v>
                </c:pt>
                <c:pt idx="11">
                  <c:v>121.74760604858453</c:v>
                </c:pt>
                <c:pt idx="12">
                  <c:v>111.85551651001019</c:v>
                </c:pt>
                <c:pt idx="13">
                  <c:v>102.79940368652346</c:v>
                </c:pt>
                <c:pt idx="14">
                  <c:v>94.503563385009755</c:v>
                </c:pt>
                <c:pt idx="15">
                  <c:v>86.900582580566407</c:v>
                </c:pt>
                <c:pt idx="16">
                  <c:v>79.929805908203107</c:v>
                </c:pt>
                <c:pt idx="17">
                  <c:v>73.536374664306663</c:v>
                </c:pt>
                <c:pt idx="18">
                  <c:v>67.670546951293986</c:v>
                </c:pt>
                <c:pt idx="19">
                  <c:v>62.287099609375005</c:v>
                </c:pt>
                <c:pt idx="20">
                  <c:v>57.344878387451153</c:v>
                </c:pt>
                <c:pt idx="21">
                  <c:v>52.806404342651412</c:v>
                </c:pt>
                <c:pt idx="22">
                  <c:v>48.637510910034223</c:v>
                </c:pt>
                <c:pt idx="23">
                  <c:v>44.807047424316409</c:v>
                </c:pt>
                <c:pt idx="24">
                  <c:v>41.286592864990254</c:v>
                </c:pt>
                <c:pt idx="25">
                  <c:v>38.050210494995127</c:v>
                </c:pt>
                <c:pt idx="26">
                  <c:v>35.074212722778334</c:v>
                </c:pt>
                <c:pt idx="27">
                  <c:v>32.336966857910134</c:v>
                </c:pt>
                <c:pt idx="28">
                  <c:v>29.818703422546406</c:v>
                </c:pt>
                <c:pt idx="29">
                  <c:v>27.501352577209488</c:v>
                </c:pt>
                <c:pt idx="30">
                  <c:v>25.368393325805645</c:v>
                </c:pt>
                <c:pt idx="31">
                  <c:v>23.404707832336413</c:v>
                </c:pt>
                <c:pt idx="32">
                  <c:v>21.596466407775896</c:v>
                </c:pt>
                <c:pt idx="33">
                  <c:v>19.931006107330372</c:v>
                </c:pt>
                <c:pt idx="34">
                  <c:v>18.396734886169483</c:v>
                </c:pt>
                <c:pt idx="35">
                  <c:v>16.983033199310267</c:v>
                </c:pt>
                <c:pt idx="36">
                  <c:v>15.680168380737308</c:v>
                </c:pt>
                <c:pt idx="37">
                  <c:v>14.47922180175782</c:v>
                </c:pt>
                <c:pt idx="38">
                  <c:v>13.372014751434355</c:v>
                </c:pt>
                <c:pt idx="39">
                  <c:v>12.351047096252437</c:v>
                </c:pt>
                <c:pt idx="40">
                  <c:v>11.409435939788843</c:v>
                </c:pt>
                <c:pt idx="41">
                  <c:v>10.540866422653195</c:v>
                </c:pt>
                <c:pt idx="42">
                  <c:v>9.7395399665832549</c:v>
                </c:pt>
                <c:pt idx="43">
                  <c:v>9.0001333808898956</c:v>
                </c:pt>
                <c:pt idx="44">
                  <c:v>8.3177560520172165</c:v>
                </c:pt>
                <c:pt idx="45">
                  <c:v>7.6879148006439237</c:v>
                </c:pt>
                <c:pt idx="46">
                  <c:v>7.1064806556701665</c:v>
                </c:pt>
                <c:pt idx="47">
                  <c:v>6.5696569061279346</c:v>
                </c:pt>
                <c:pt idx="48">
                  <c:v>6.0739548206329363</c:v>
                </c:pt>
                <c:pt idx="49">
                  <c:v>5.6161623382568342</c:v>
                </c:pt>
              </c:numCache>
            </c:numRef>
          </c:val>
        </c:ser>
        <c:marker val="1"/>
        <c:axId val="92033408"/>
        <c:axId val="92035328"/>
      </c:lineChart>
      <c:catAx>
        <c:axId val="92033408"/>
        <c:scaling>
          <c:orientation val="minMax"/>
        </c:scaling>
        <c:axPos val="b"/>
        <c:title>
          <c:tx>
            <c:rich>
              <a:bodyPr/>
              <a:lstStyle/>
              <a:p>
                <a:pPr>
                  <a:defRPr sz="1400" baseline="0"/>
                </a:pPr>
                <a:r>
                  <a:rPr lang="en-GB" sz="1400" b="1" i="0" baseline="0"/>
                  <a:t>Year</a:t>
                </a:r>
                <a:endParaRPr lang="en-GB" sz="1400" baseline="0"/>
              </a:p>
            </c:rich>
          </c:tx>
          <c:layout>
            <c:manualLayout>
              <c:xMode val="edge"/>
              <c:yMode val="edge"/>
              <c:x val="0.48278647463001367"/>
              <c:y val="0.94737885254496368"/>
            </c:manualLayout>
          </c:layout>
        </c:title>
        <c:numFmt formatCode="0" sourceLinked="1"/>
        <c:tickLblPos val="nextTo"/>
        <c:txPr>
          <a:bodyPr/>
          <a:lstStyle/>
          <a:p>
            <a:pPr>
              <a:defRPr sz="1400" baseline="0"/>
            </a:pPr>
            <a:endParaRPr lang="en-US"/>
          </a:p>
        </c:txPr>
        <c:crossAx val="92035328"/>
        <c:crosses val="autoZero"/>
        <c:auto val="1"/>
        <c:lblAlgn val="ctr"/>
        <c:lblOffset val="100"/>
        <c:tickLblSkip val="5"/>
      </c:catAx>
      <c:valAx>
        <c:axId val="92035328"/>
        <c:scaling>
          <c:orientation val="minMax"/>
        </c:scaling>
        <c:axPos val="l"/>
        <c:majorGridlines>
          <c:spPr>
            <a:ln>
              <a:solidFill>
                <a:sysClr val="window" lastClr="FFFFFF">
                  <a:lumMod val="75000"/>
                  <a:alpha val="40000"/>
                </a:sysClr>
              </a:solidFill>
            </a:ln>
          </c:spPr>
        </c:majorGridlines>
        <c:title>
          <c:tx>
            <c:rich>
              <a:bodyPr rot="-5400000" vert="horz"/>
              <a:lstStyle/>
              <a:p>
                <a:pPr>
                  <a:defRPr/>
                </a:pPr>
                <a:r>
                  <a:rPr lang="en-GB" sz="1400"/>
                  <a:t>Total LFG generated </a:t>
                </a:r>
                <a:r>
                  <a:rPr lang="en-GB" sz="1400">
                    <a:latin typeface="Calibri"/>
                    <a:cs typeface="Calibri"/>
                  </a:rPr>
                  <a:t/>
                </a:r>
                <a:br>
                  <a:rPr lang="en-GB" sz="1400">
                    <a:latin typeface="Calibri"/>
                    <a:cs typeface="Calibri"/>
                  </a:rPr>
                </a:br>
                <a:r>
                  <a:rPr lang="en-GB" sz="1400"/>
                  <a:t>(m</a:t>
                </a:r>
                <a:r>
                  <a:rPr lang="en-GB" sz="1400" baseline="30000"/>
                  <a:t>3</a:t>
                </a:r>
                <a:r>
                  <a:rPr lang="en-GB" sz="1400"/>
                  <a:t> hr</a:t>
                </a:r>
                <a:r>
                  <a:rPr lang="en-GB" sz="1400" baseline="30000"/>
                  <a:t>-1</a:t>
                </a:r>
                <a:r>
                  <a:rPr lang="en-GB" sz="1400"/>
                  <a:t>)</a:t>
                </a:r>
              </a:p>
            </c:rich>
          </c:tx>
          <c:layout>
            <c:manualLayout>
              <c:xMode val="edge"/>
              <c:yMode val="edge"/>
              <c:x val="1.1584444878169961E-2"/>
              <c:y val="0.31878236123562426"/>
            </c:manualLayout>
          </c:layout>
        </c:title>
        <c:numFmt formatCode="0" sourceLinked="1"/>
        <c:tickLblPos val="nextTo"/>
        <c:txPr>
          <a:bodyPr/>
          <a:lstStyle/>
          <a:p>
            <a:pPr>
              <a:defRPr sz="1400" baseline="0"/>
            </a:pPr>
            <a:endParaRPr lang="en-US"/>
          </a:p>
        </c:txPr>
        <c:crossAx val="92033408"/>
        <c:crosses val="autoZero"/>
        <c:crossBetween val="between"/>
      </c:valAx>
      <c:valAx>
        <c:axId val="92045696"/>
        <c:scaling>
          <c:orientation val="minMax"/>
          <c:max val="1"/>
          <c:min val="0"/>
        </c:scaling>
        <c:axPos val="r"/>
        <c:numFmt formatCode="0" sourceLinked="1"/>
        <c:majorTickMark val="none"/>
        <c:tickLblPos val="none"/>
        <c:crossAx val="92047232"/>
        <c:crosses val="max"/>
        <c:crossBetween val="between"/>
      </c:valAx>
      <c:catAx>
        <c:axId val="92047232"/>
        <c:scaling>
          <c:orientation val="minMax"/>
        </c:scaling>
        <c:delete val="1"/>
        <c:axPos val="b"/>
        <c:numFmt formatCode="0" sourceLinked="1"/>
        <c:tickLblPos val="none"/>
        <c:crossAx val="92045696"/>
        <c:crosses val="autoZero"/>
        <c:auto val="1"/>
        <c:lblAlgn val="ctr"/>
        <c:lblOffset val="100"/>
      </c:catAx>
    </c:plotArea>
    <c:legend>
      <c:legendPos val="r"/>
      <c:layout>
        <c:manualLayout>
          <c:xMode val="edge"/>
          <c:yMode val="edge"/>
          <c:x val="0.61879757914053435"/>
          <c:y val="0.15337965042462171"/>
          <c:w val="0.31943823618561851"/>
          <c:h val="0.42521185523703492"/>
        </c:manualLayout>
      </c:layout>
      <c:overlay val="1"/>
      <c:spPr>
        <a:solidFill>
          <a:schemeClr val="bg1"/>
        </a:solidFill>
        <a:ln>
          <a:solidFill>
            <a:schemeClr val="bg1">
              <a:lumMod val="75000"/>
            </a:schemeClr>
          </a:solidFill>
        </a:ln>
      </c:spPr>
      <c:txPr>
        <a:bodyPr/>
        <a:lstStyle/>
        <a:p>
          <a:pPr>
            <a:defRPr sz="1600" baseline="0"/>
          </a:pPr>
          <a:endParaRPr lang="en-US"/>
        </a:p>
      </c:txPr>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Annual GHG source estimate</a:t>
            </a:r>
          </a:p>
        </c:rich>
      </c:tx>
    </c:title>
    <c:plotArea>
      <c:layout>
        <c:manualLayout>
          <c:layoutTarget val="inner"/>
          <c:xMode val="edge"/>
          <c:yMode val="edge"/>
          <c:x val="0.15030511064261601"/>
          <c:y val="0.13335050932486187"/>
          <c:w val="0.8227871214450545"/>
          <c:h val="0.76487039823184777"/>
        </c:manualLayout>
      </c:layout>
      <c:areaChart>
        <c:grouping val="standard"/>
        <c:ser>
          <c:idx val="5"/>
          <c:order val="0"/>
          <c:tx>
            <c:strRef>
              <c:f>'Docking 2 example'!$AC$16</c:f>
              <c:strCache>
                <c:ptCount val="1"/>
                <c:pt idx="0">
                  <c:v>Total GHG potential (tCO2e yr-1) (from CH4)</c:v>
                </c:pt>
              </c:strCache>
            </c:strRef>
          </c:tx>
          <c:spPr>
            <a:solidFill>
              <a:srgbClr val="FF0000"/>
            </a:solidFill>
            <a:ln>
              <a:noFill/>
            </a:ln>
          </c:spPr>
          <c:cat>
            <c:numRef>
              <c:f>'Docking 2 example'!$V$17:$V$66</c:f>
              <c:numCache>
                <c:formatCode>0</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'Docking 2 example'!$AC$17:$AC$66</c:f>
              <c:numCache>
                <c:formatCode>0</c:formatCode>
                <c:ptCount val="50"/>
                <c:pt idx="0">
                  <c:v>37219.203302673377</c:v>
                </c:pt>
                <c:pt idx="1">
                  <c:v>36690.865508605995</c:v>
                </c:pt>
                <c:pt idx="2">
                  <c:v>32524.448092346189</c:v>
                </c:pt>
                <c:pt idx="3">
                  <c:v>29132.587788207959</c:v>
                </c:pt>
                <c:pt idx="4">
                  <c:v>26369.058453918486</c:v>
                </c:pt>
                <c:pt idx="5">
                  <c:v>24011.476242736757</c:v>
                </c:pt>
                <c:pt idx="6">
                  <c:v>21940.496313354543</c:v>
                </c:pt>
                <c:pt idx="7">
                  <c:v>20089.014707885795</c:v>
                </c:pt>
                <c:pt idx="8">
                  <c:v>18416.727419677714</c:v>
                </c:pt>
                <c:pt idx="9">
                  <c:v>16897.338148040755</c:v>
                </c:pt>
                <c:pt idx="10">
                  <c:v>15512.123295227097</c:v>
                </c:pt>
                <c:pt idx="11">
                  <c:v>14246.650461822572</c:v>
                </c:pt>
                <c:pt idx="12">
                  <c:v>13089.098814056444</c:v>
                </c:pt>
                <c:pt idx="13">
                  <c:v>12029.371414672853</c:v>
                </c:pt>
                <c:pt idx="14">
                  <c:v>11058.609517181396</c:v>
                </c:pt>
                <c:pt idx="15">
                  <c:v>10168.924590270995</c:v>
                </c:pt>
                <c:pt idx="16">
                  <c:v>9353.2188698730442</c:v>
                </c:pt>
                <c:pt idx="17">
                  <c:v>8605.0729051208527</c:v>
                </c:pt>
                <c:pt idx="18">
                  <c:v>7918.6660030975372</c:v>
                </c:pt>
                <c:pt idx="19">
                  <c:v>7288.7062441406242</c:v>
                </c:pt>
                <c:pt idx="20">
                  <c:v>6710.3778437805149</c:v>
                </c:pt>
                <c:pt idx="21">
                  <c:v>6179.2950944366485</c:v>
                </c:pt>
                <c:pt idx="22">
                  <c:v>5691.4598960723924</c:v>
                </c:pt>
                <c:pt idx="23">
                  <c:v>5243.2270629272471</c:v>
                </c:pt>
                <c:pt idx="24">
                  <c:v>4831.270826568606</c:v>
                </c:pt>
                <c:pt idx="25">
                  <c:v>4452.5561242218027</c:v>
                </c:pt>
                <c:pt idx="26">
                  <c:v>4104.3110834198014</c:v>
                </c:pt>
                <c:pt idx="27">
                  <c:v>3784.0042919311495</c:v>
                </c:pt>
                <c:pt idx="28">
                  <c:v>3489.3223667678863</c:v>
                </c:pt>
                <c:pt idx="29">
                  <c:v>3218.1508130722059</c:v>
                </c:pt>
                <c:pt idx="30">
                  <c:v>2968.5563784027081</c:v>
                </c:pt>
                <c:pt idx="31">
                  <c:v>2738.7700051803572</c:v>
                </c:pt>
                <c:pt idx="32">
                  <c:v>2527.1733720932025</c:v>
                </c:pt>
                <c:pt idx="33">
                  <c:v>2332.284687801367</c:v>
                </c:pt>
                <c:pt idx="34">
                  <c:v>2152.7474754409845</c:v>
                </c:pt>
                <c:pt idx="35">
                  <c:v>1987.319058048244</c:v>
                </c:pt>
                <c:pt idx="36">
                  <c:v>1834.8605393829348</c:v>
                </c:pt>
                <c:pt idx="37">
                  <c:v>1694.3282801513678</c:v>
                </c:pt>
                <c:pt idx="38">
                  <c:v>1564.765224689487</c:v>
                </c:pt>
                <c:pt idx="39">
                  <c:v>1445.293723045349</c:v>
                </c:pt>
                <c:pt idx="40">
                  <c:v>1335.1083530616788</c:v>
                </c:pt>
                <c:pt idx="41">
                  <c:v>1233.4701630878446</c:v>
                </c:pt>
                <c:pt idx="42">
                  <c:v>1139.7006156120303</c:v>
                </c:pt>
                <c:pt idx="43">
                  <c:v>1053.1768019828799</c:v>
                </c:pt>
                <c:pt idx="44">
                  <c:v>973.32643282127424</c:v>
                </c:pt>
                <c:pt idx="45">
                  <c:v>899.6237256717684</c:v>
                </c:pt>
                <c:pt idx="46">
                  <c:v>831.58551696395864</c:v>
                </c:pt>
                <c:pt idx="47">
                  <c:v>768.76752351379457</c:v>
                </c:pt>
                <c:pt idx="48">
                  <c:v>710.7615012645723</c:v>
                </c:pt>
                <c:pt idx="49">
                  <c:v>657.1915815582272</c:v>
                </c:pt>
              </c:numCache>
            </c:numRef>
          </c:val>
        </c:ser>
        <c:axId val="93645824"/>
        <c:axId val="92148864"/>
      </c:areaChart>
      <c:barChart>
        <c:barDir val="col"/>
        <c:grouping val="clustered"/>
        <c:ser>
          <c:idx val="0"/>
          <c:order val="1"/>
          <c:tx>
            <c:v>Current Year</c:v>
          </c:tx>
          <c:spPr>
            <a:ln w="25400">
              <a:noFill/>
            </a:ln>
          </c:spPr>
          <c:cat>
            <c:numRef>
              <c:f>'Docking 2 example'!$V$17:$V$66</c:f>
              <c:numCache>
                <c:formatCode>0</c:formatCode>
                <c:ptCount val="5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numCache>
            </c:numRef>
          </c:cat>
          <c:val>
            <c:numRef>
              <c:f>'Docking 2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2156672"/>
        <c:axId val="92150784"/>
      </c:barChart>
      <c:catAx>
        <c:axId val="93645824"/>
        <c:scaling>
          <c:orientation val="minMax"/>
        </c:scaling>
        <c:axPos val="b"/>
        <c:title>
          <c:tx>
            <c:rich>
              <a:bodyPr/>
              <a:lstStyle/>
              <a:p>
                <a:pPr>
                  <a:defRPr sz="1400" baseline="0"/>
                </a:pPr>
                <a:r>
                  <a:rPr lang="en-GB" sz="1400" baseline="0"/>
                  <a:t>Year</a:t>
                </a:r>
              </a:p>
            </c:rich>
          </c:tx>
          <c:layout>
            <c:manualLayout>
              <c:xMode val="edge"/>
              <c:yMode val="edge"/>
              <c:x val="0.48018054135190491"/>
              <c:y val="0.94755056580749697"/>
            </c:manualLayout>
          </c:layout>
        </c:title>
        <c:numFmt formatCode="0" sourceLinked="1"/>
        <c:tickLblPos val="nextTo"/>
        <c:txPr>
          <a:bodyPr/>
          <a:lstStyle/>
          <a:p>
            <a:pPr>
              <a:defRPr sz="1400" baseline="0"/>
            </a:pPr>
            <a:endParaRPr lang="en-US"/>
          </a:p>
        </c:txPr>
        <c:crossAx val="92148864"/>
        <c:crosses val="autoZero"/>
        <c:auto val="1"/>
        <c:lblAlgn val="ctr"/>
        <c:lblOffset val="100"/>
        <c:tickLblSkip val="5"/>
      </c:catAx>
      <c:valAx>
        <c:axId val="92148864"/>
        <c:scaling>
          <c:orientation val="minMax"/>
          <c:min val="0"/>
        </c:scaling>
        <c:axPos val="l"/>
        <c:majorGridlines>
          <c:spPr>
            <a:ln>
              <a:solidFill>
                <a:sysClr val="window" lastClr="FFFFFF">
                  <a:lumMod val="75000"/>
                  <a:alpha val="40000"/>
                </a:sysClr>
              </a:solidFill>
            </a:ln>
          </c:spPr>
        </c:majorGridlines>
        <c:title>
          <c:tx>
            <c:rich>
              <a:bodyPr rot="-5400000" vert="horz"/>
              <a:lstStyle/>
              <a:p>
                <a:pPr>
                  <a:defRPr sz="1400"/>
                </a:pPr>
                <a:r>
                  <a:rPr lang="en-GB" sz="1400"/>
                  <a:t>Total  GHG potential </a:t>
                </a:r>
                <a:br>
                  <a:rPr lang="en-GB" sz="1400"/>
                </a:br>
                <a:r>
                  <a:rPr lang="en-GB" sz="1400"/>
                  <a:t>(tCO</a:t>
                </a:r>
                <a:r>
                  <a:rPr lang="en-GB" sz="1400" baseline="-25000"/>
                  <a:t>2</a:t>
                </a:r>
                <a:r>
                  <a:rPr lang="en-GB" sz="1400"/>
                  <a:t>e yr</a:t>
                </a:r>
                <a:r>
                  <a:rPr lang="en-GB" sz="1400" baseline="30000"/>
                  <a:t>-1</a:t>
                </a:r>
                <a:r>
                  <a:rPr lang="en-GB" sz="1400"/>
                  <a:t>)</a:t>
                </a:r>
              </a:p>
            </c:rich>
          </c:tx>
          <c:layout>
            <c:manualLayout>
              <c:xMode val="edge"/>
              <c:yMode val="edge"/>
              <c:x val="2.3311609436634399E-2"/>
              <c:y val="0.35572363631559945"/>
            </c:manualLayout>
          </c:layout>
        </c:title>
        <c:numFmt formatCode="#,##0" sourceLinked="0"/>
        <c:tickLblPos val="nextTo"/>
        <c:txPr>
          <a:bodyPr/>
          <a:lstStyle/>
          <a:p>
            <a:pPr>
              <a:defRPr sz="1400" baseline="0"/>
            </a:pPr>
            <a:endParaRPr lang="en-US"/>
          </a:p>
        </c:txPr>
        <c:crossAx val="93645824"/>
        <c:crosses val="autoZero"/>
        <c:crossBetween val="midCat"/>
      </c:valAx>
      <c:valAx>
        <c:axId val="92150784"/>
        <c:scaling>
          <c:orientation val="minMax"/>
          <c:max val="1"/>
          <c:min val="0"/>
        </c:scaling>
        <c:axPos val="r"/>
        <c:numFmt formatCode="0" sourceLinked="1"/>
        <c:majorTickMark val="none"/>
        <c:tickLblPos val="none"/>
        <c:crossAx val="92156672"/>
        <c:crosses val="max"/>
        <c:crossBetween val="between"/>
      </c:valAx>
      <c:catAx>
        <c:axId val="92156672"/>
        <c:scaling>
          <c:orientation val="minMax"/>
        </c:scaling>
        <c:delete val="1"/>
        <c:axPos val="b"/>
        <c:numFmt formatCode="0" sourceLinked="1"/>
        <c:tickLblPos val="none"/>
        <c:crossAx val="92150784"/>
        <c:crosses val="autoZero"/>
        <c:auto val="1"/>
        <c:lblAlgn val="ctr"/>
        <c:lblOffset val="100"/>
      </c:catAx>
    </c:plotArea>
    <c:legend>
      <c:legendPos val="r"/>
      <c:layout>
        <c:manualLayout>
          <c:xMode val="edge"/>
          <c:yMode val="edge"/>
          <c:x val="0.67706832315158905"/>
          <c:y val="0.15808321095138891"/>
          <c:w val="0.28548996082514289"/>
          <c:h val="0.27613333248017624"/>
        </c:manualLayout>
      </c:layout>
      <c:overlay val="1"/>
      <c:spPr>
        <a:solidFill>
          <a:sysClr val="window" lastClr="FFFFFF"/>
        </a:solidFill>
        <a:ln>
          <a:solidFill>
            <a:sysClr val="window" lastClr="FFFFFF">
              <a:lumMod val="75000"/>
            </a:sysClr>
          </a:solidFill>
        </a:ln>
      </c:spPr>
      <c:txPr>
        <a:bodyPr/>
        <a:lstStyle/>
        <a:p>
          <a:pPr>
            <a:defRPr sz="1600" baseline="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Operational LFG generation</a:t>
            </a:r>
            <a:r>
              <a:rPr lang="en-GB" sz="2400" baseline="0"/>
              <a:t> </a:t>
            </a:r>
            <a:r>
              <a:rPr lang="en-GB" sz="2400"/>
              <a:t>estimate</a:t>
            </a:r>
          </a:p>
        </c:rich>
      </c:tx>
    </c:title>
    <c:plotArea>
      <c:layout>
        <c:manualLayout>
          <c:layoutTarget val="inner"/>
          <c:xMode val="edge"/>
          <c:yMode val="edge"/>
          <c:x val="0.11178834515481781"/>
          <c:y val="0.11307045974091984"/>
          <c:w val="0.8697619549500577"/>
          <c:h val="0.76694843789688183"/>
        </c:manualLayout>
      </c:layout>
      <c:barChart>
        <c:barDir val="col"/>
        <c:grouping val="clustered"/>
        <c:ser>
          <c:idx val="0"/>
          <c:order val="3"/>
          <c:tx>
            <c:v>Current Year</c:v>
          </c:tx>
          <c:cat>
            <c:numRef>
              <c:f>'Otterspool example'!$V$17:$V$66</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'Otterspool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3650944"/>
        <c:axId val="93780224"/>
      </c:barChart>
      <c:lineChart>
        <c:grouping val="standard"/>
        <c:ser>
          <c:idx val="2"/>
          <c:order val="0"/>
          <c:tx>
            <c:strRef>
              <c:f>'Otterspool example'!$X$16</c:f>
              <c:strCache>
                <c:ptCount val="1"/>
                <c:pt idx="0">
                  <c:v>+33%</c:v>
                </c:pt>
              </c:strCache>
            </c:strRef>
          </c:tx>
          <c:spPr>
            <a:ln>
              <a:solidFill>
                <a:srgbClr val="FF5050"/>
              </a:solidFill>
            </a:ln>
          </c:spPr>
          <c:marker>
            <c:symbol val="none"/>
          </c:marker>
          <c:cat>
            <c:numRef>
              <c:f>'Otterspool example'!$V$17:$V$66</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'Otterspool example'!$X$17:$X$66</c:f>
              <c:numCache>
                <c:formatCode>0</c:formatCode>
                <c:ptCount val="50"/>
                <c:pt idx="0">
                  <c:v>4018.2641235351493</c:v>
                </c:pt>
                <c:pt idx="1">
                  <c:v>3917.3626312255769</c:v>
                </c:pt>
                <c:pt idx="2">
                  <c:v>3498.2251129150427</c:v>
                </c:pt>
                <c:pt idx="3">
                  <c:v>3150.4062469482478</c:v>
                </c:pt>
                <c:pt idx="4">
                  <c:v>2861.370921325673</c:v>
                </c:pt>
                <c:pt idx="5">
                  <c:v>2611.519819641122</c:v>
                </c:pt>
                <c:pt idx="6">
                  <c:v>2390.1922012329164</c:v>
                </c:pt>
                <c:pt idx="7">
                  <c:v>2191.2722091674896</c:v>
                </c:pt>
                <c:pt idx="8">
                  <c:v>2010.987762451171</c:v>
                </c:pt>
                <c:pt idx="9">
                  <c:v>1846.8031021118165</c:v>
                </c:pt>
                <c:pt idx="10">
                  <c:v>1696.8592803955089</c:v>
                </c:pt>
                <c:pt idx="11">
                  <c:v>1559.6892303466798</c:v>
                </c:pt>
                <c:pt idx="12">
                  <c:v>1434.0705314636227</c:v>
                </c:pt>
                <c:pt idx="13">
                  <c:v>1318.9469726562502</c:v>
                </c:pt>
                <c:pt idx="14">
                  <c:v>1213.3853256225575</c:v>
                </c:pt>
                <c:pt idx="15">
                  <c:v>1116.5499771118164</c:v>
                </c:pt>
                <c:pt idx="16">
                  <c:v>1027.6870994567873</c:v>
                </c:pt>
                <c:pt idx="17">
                  <c:v>946.11348876953207</c:v>
                </c:pt>
                <c:pt idx="18">
                  <c:v>871.20804138183553</c:v>
                </c:pt>
                <c:pt idx="19">
                  <c:v>802.40561485290436</c:v>
                </c:pt>
                <c:pt idx="20">
                  <c:v>739.19129486083978</c:v>
                </c:pt>
                <c:pt idx="21">
                  <c:v>681.09527091979965</c:v>
                </c:pt>
                <c:pt idx="22">
                  <c:v>627.68903121948188</c:v>
                </c:pt>
                <c:pt idx="23">
                  <c:v>578.58130378723251</c:v>
                </c:pt>
                <c:pt idx="24">
                  <c:v>533.41486015319936</c:v>
                </c:pt>
                <c:pt idx="25">
                  <c:v>491.86311607360739</c:v>
                </c:pt>
                <c:pt idx="26">
                  <c:v>453.62769622802784</c:v>
                </c:pt>
                <c:pt idx="27">
                  <c:v>418.43569450378476</c:v>
                </c:pt>
                <c:pt idx="28">
                  <c:v>386.0375684738155</c:v>
                </c:pt>
                <c:pt idx="29">
                  <c:v>356.20490703582828</c:v>
                </c:pt>
                <c:pt idx="30">
                  <c:v>328.72868003845139</c:v>
                </c:pt>
                <c:pt idx="31">
                  <c:v>303.4174371719356</c:v>
                </c:pt>
                <c:pt idx="32">
                  <c:v>280.09586200714182</c:v>
                </c:pt>
                <c:pt idx="33">
                  <c:v>258.60335140228233</c:v>
                </c:pt>
                <c:pt idx="34">
                  <c:v>238.79259490966882</c:v>
                </c:pt>
                <c:pt idx="35">
                  <c:v>220.52861080169683</c:v>
                </c:pt>
                <c:pt idx="36">
                  <c:v>203.68759183883668</c:v>
                </c:pt>
                <c:pt idx="37">
                  <c:v>188.15592861175537</c:v>
                </c:pt>
                <c:pt idx="38">
                  <c:v>173.8293977737427</c:v>
                </c:pt>
                <c:pt idx="39">
                  <c:v>160.61228685379027</c:v>
                </c:pt>
                <c:pt idx="40">
                  <c:v>148.41674737930296</c:v>
                </c:pt>
                <c:pt idx="41">
                  <c:v>137.16205921173093</c:v>
                </c:pt>
                <c:pt idx="42">
                  <c:v>126.77405977249154</c:v>
                </c:pt>
                <c:pt idx="43">
                  <c:v>117.18463668823247</c:v>
                </c:pt>
                <c:pt idx="44">
                  <c:v>108.33111896514887</c:v>
                </c:pt>
                <c:pt idx="45">
                  <c:v>100.15594086647035</c:v>
                </c:pt>
                <c:pt idx="46">
                  <c:v>92.606115531921432</c:v>
                </c:pt>
                <c:pt idx="47">
                  <c:v>85.632911539077838</c:v>
                </c:pt>
                <c:pt idx="48">
                  <c:v>79.191491413116538</c:v>
                </c:pt>
                <c:pt idx="49">
                  <c:v>73.240588188171429</c:v>
                </c:pt>
              </c:numCache>
            </c:numRef>
          </c:val>
        </c:ser>
        <c:ser>
          <c:idx val="1"/>
          <c:order val="1"/>
          <c:tx>
            <c:strRef>
              <c:f>'Otterspool example'!$W$16</c:f>
              <c:strCache>
                <c:ptCount val="1"/>
                <c:pt idx="0">
                  <c:v>Total LFG generated (m3 hr-1) (50% CH4)</c:v>
                </c:pt>
              </c:strCache>
            </c:strRef>
          </c:tx>
          <c:spPr>
            <a:ln w="38100">
              <a:solidFill>
                <a:srgbClr val="FF0000"/>
              </a:solidFill>
            </a:ln>
          </c:spPr>
          <c:marker>
            <c:symbol val="none"/>
          </c:marker>
          <c:cat>
            <c:numRef>
              <c:f>'Otterspool example'!$V$17:$V$66</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'Otterspool example'!$W$17:$W$66</c:f>
              <c:numCache>
                <c:formatCode>0</c:formatCode>
                <c:ptCount val="50"/>
                <c:pt idx="0">
                  <c:v>3021.2512207031195</c:v>
                </c:pt>
                <c:pt idx="1">
                  <c:v>2945.3854370117119</c:v>
                </c:pt>
                <c:pt idx="2">
                  <c:v>2630.244445800784</c:v>
                </c:pt>
                <c:pt idx="3">
                  <c:v>2368.7265014648478</c:v>
                </c:pt>
                <c:pt idx="4">
                  <c:v>2151.4067077636637</c:v>
                </c:pt>
                <c:pt idx="5">
                  <c:v>1963.548736572272</c:v>
                </c:pt>
                <c:pt idx="6">
                  <c:v>1797.1369934082079</c:v>
                </c:pt>
                <c:pt idx="7">
                  <c:v>1647.573089599616</c:v>
                </c:pt>
                <c:pt idx="8">
                  <c:v>1512.0208740234368</c:v>
                </c:pt>
                <c:pt idx="9">
                  <c:v>1388.5737609863281</c:v>
                </c:pt>
                <c:pt idx="10">
                  <c:v>1275.8340454101569</c:v>
                </c:pt>
                <c:pt idx="11">
                  <c:v>1172.6986694335937</c:v>
                </c:pt>
                <c:pt idx="12">
                  <c:v>1078.2485198974607</c:v>
                </c:pt>
                <c:pt idx="13">
                  <c:v>991.689453125</c:v>
                </c:pt>
                <c:pt idx="14">
                  <c:v>912.31979370117108</c:v>
                </c:pt>
                <c:pt idx="15">
                  <c:v>839.51126098632801</c:v>
                </c:pt>
                <c:pt idx="16">
                  <c:v>772.6970672607423</c:v>
                </c:pt>
                <c:pt idx="17">
                  <c:v>711.36352539062557</c:v>
                </c:pt>
                <c:pt idx="18">
                  <c:v>655.04364013671841</c:v>
                </c:pt>
                <c:pt idx="19">
                  <c:v>603.31249237060479</c:v>
                </c:pt>
                <c:pt idx="20">
                  <c:v>555.78292846679676</c:v>
                </c:pt>
                <c:pt idx="21">
                  <c:v>512.10170745849598</c:v>
                </c:pt>
                <c:pt idx="22">
                  <c:v>471.94664001464804</c:v>
                </c:pt>
                <c:pt idx="23">
                  <c:v>435.02353668212965</c:v>
                </c:pt>
                <c:pt idx="24">
                  <c:v>401.06380462646564</c:v>
                </c:pt>
                <c:pt idx="25">
                  <c:v>369.82189178466717</c:v>
                </c:pt>
                <c:pt idx="26">
                  <c:v>341.07345581054722</c:v>
                </c:pt>
                <c:pt idx="27">
                  <c:v>314.61330413818399</c:v>
                </c:pt>
                <c:pt idx="28">
                  <c:v>290.25381088256802</c:v>
                </c:pt>
                <c:pt idx="29">
                  <c:v>267.82323837280319</c:v>
                </c:pt>
                <c:pt idx="30">
                  <c:v>247.1644210815424</c:v>
                </c:pt>
                <c:pt idx="31">
                  <c:v>228.13341140747036</c:v>
                </c:pt>
                <c:pt idx="32">
                  <c:v>210.59839248657281</c:v>
                </c:pt>
                <c:pt idx="33">
                  <c:v>194.43861007690401</c:v>
                </c:pt>
                <c:pt idx="34">
                  <c:v>179.54330444336</c:v>
                </c:pt>
                <c:pt idx="35">
                  <c:v>165.81098556518558</c:v>
                </c:pt>
                <c:pt idx="36">
                  <c:v>153.1485652923584</c:v>
                </c:pt>
                <c:pt idx="37">
                  <c:v>141.47062301635742</c:v>
                </c:pt>
                <c:pt idx="38">
                  <c:v>130.69879531860352</c:v>
                </c:pt>
                <c:pt idx="39">
                  <c:v>120.76111793518064</c:v>
                </c:pt>
                <c:pt idx="40">
                  <c:v>111.59153938293454</c:v>
                </c:pt>
                <c:pt idx="41">
                  <c:v>103.12936782836913</c:v>
                </c:pt>
                <c:pt idx="42">
                  <c:v>95.318841934204158</c:v>
                </c:pt>
                <c:pt idx="43">
                  <c:v>88.108749389648466</c:v>
                </c:pt>
                <c:pt idx="44">
                  <c:v>81.451969146728473</c:v>
                </c:pt>
                <c:pt idx="45">
                  <c:v>75.305218696594238</c:v>
                </c:pt>
                <c:pt idx="46">
                  <c:v>69.628658294677763</c:v>
                </c:pt>
                <c:pt idx="47">
                  <c:v>64.385647773742733</c:v>
                </c:pt>
                <c:pt idx="48">
                  <c:v>59.542474746704158</c:v>
                </c:pt>
                <c:pt idx="49">
                  <c:v>55.068111419677763</c:v>
                </c:pt>
              </c:numCache>
            </c:numRef>
          </c:val>
        </c:ser>
        <c:ser>
          <c:idx val="3"/>
          <c:order val="2"/>
          <c:tx>
            <c:strRef>
              <c:f>'Otterspool example'!$Y$16</c:f>
              <c:strCache>
                <c:ptCount val="1"/>
                <c:pt idx="0">
                  <c:v>-33%</c:v>
                </c:pt>
              </c:strCache>
            </c:strRef>
          </c:tx>
          <c:spPr>
            <a:ln>
              <a:solidFill>
                <a:srgbClr val="FF5050"/>
              </a:solidFill>
            </a:ln>
          </c:spPr>
          <c:marker>
            <c:symbol val="none"/>
          </c:marker>
          <c:cat>
            <c:numRef>
              <c:f>'Otterspool example'!$V$17:$V$66</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'Otterspool example'!$Y$17:$Y$66</c:f>
              <c:numCache>
                <c:formatCode>0</c:formatCode>
                <c:ptCount val="50"/>
                <c:pt idx="0">
                  <c:v>2024.2383178710902</c:v>
                </c:pt>
                <c:pt idx="1">
                  <c:v>1973.4082427978472</c:v>
                </c:pt>
                <c:pt idx="2">
                  <c:v>1762.2637786865255</c:v>
                </c:pt>
                <c:pt idx="3">
                  <c:v>1587.0467559814481</c:v>
                </c:pt>
                <c:pt idx="4">
                  <c:v>1441.4424942016547</c:v>
                </c:pt>
                <c:pt idx="5">
                  <c:v>1315.5776535034224</c:v>
                </c:pt>
                <c:pt idx="6">
                  <c:v>1204.0817855834994</c:v>
                </c:pt>
                <c:pt idx="7">
                  <c:v>1103.8739700317428</c:v>
                </c:pt>
                <c:pt idx="8">
                  <c:v>1013.0539855957028</c:v>
                </c:pt>
                <c:pt idx="9">
                  <c:v>930.34441986083993</c:v>
                </c:pt>
                <c:pt idx="10">
                  <c:v>854.80881042480519</c:v>
                </c:pt>
                <c:pt idx="11">
                  <c:v>785.70810852050784</c:v>
                </c:pt>
                <c:pt idx="12">
                  <c:v>722.42650833129869</c:v>
                </c:pt>
                <c:pt idx="13">
                  <c:v>664.43193359375005</c:v>
                </c:pt>
                <c:pt idx="14">
                  <c:v>611.25426177978466</c:v>
                </c:pt>
                <c:pt idx="15">
                  <c:v>562.47254486083978</c:v>
                </c:pt>
                <c:pt idx="16">
                  <c:v>517.70703506469738</c:v>
                </c:pt>
                <c:pt idx="17">
                  <c:v>476.61356201171918</c:v>
                </c:pt>
                <c:pt idx="18">
                  <c:v>438.87923889160135</c:v>
                </c:pt>
                <c:pt idx="19">
                  <c:v>404.21936988830521</c:v>
                </c:pt>
                <c:pt idx="20">
                  <c:v>372.37456207275386</c:v>
                </c:pt>
                <c:pt idx="21">
                  <c:v>343.10814399719231</c:v>
                </c:pt>
                <c:pt idx="22">
                  <c:v>316.2042488098142</c:v>
                </c:pt>
                <c:pt idx="23">
                  <c:v>291.46576957702689</c:v>
                </c:pt>
                <c:pt idx="24">
                  <c:v>268.71274909973198</c:v>
                </c:pt>
                <c:pt idx="25">
                  <c:v>247.78066749572702</c:v>
                </c:pt>
                <c:pt idx="26">
                  <c:v>228.51921539306664</c:v>
                </c:pt>
                <c:pt idx="27">
                  <c:v>210.79091377258328</c:v>
                </c:pt>
                <c:pt idx="28">
                  <c:v>194.4700532913206</c:v>
                </c:pt>
                <c:pt idx="29">
                  <c:v>179.44156970977815</c:v>
                </c:pt>
                <c:pt idx="30">
                  <c:v>165.60016212463341</c:v>
                </c:pt>
                <c:pt idx="31">
                  <c:v>152.84938564300515</c:v>
                </c:pt>
                <c:pt idx="32">
                  <c:v>141.10092296600379</c:v>
                </c:pt>
                <c:pt idx="33">
                  <c:v>130.2738687515257</c:v>
                </c:pt>
                <c:pt idx="34">
                  <c:v>120.29401397705121</c:v>
                </c:pt>
                <c:pt idx="35">
                  <c:v>111.09336032867434</c:v>
                </c:pt>
                <c:pt idx="36">
                  <c:v>102.60953874588013</c:v>
                </c:pt>
                <c:pt idx="37">
                  <c:v>94.785317420959473</c:v>
                </c:pt>
                <c:pt idx="38">
                  <c:v>87.568192863464361</c:v>
                </c:pt>
                <c:pt idx="39">
                  <c:v>80.909949016571034</c:v>
                </c:pt>
                <c:pt idx="40">
                  <c:v>74.766331386566151</c:v>
                </c:pt>
                <c:pt idx="41">
                  <c:v>69.096676445007319</c:v>
                </c:pt>
                <c:pt idx="42">
                  <c:v>63.863624095916791</c:v>
                </c:pt>
                <c:pt idx="43">
                  <c:v>59.032862091064473</c:v>
                </c:pt>
                <c:pt idx="44">
                  <c:v>54.572819328308078</c:v>
                </c:pt>
                <c:pt idx="45">
                  <c:v>50.454496526718145</c:v>
                </c:pt>
                <c:pt idx="46">
                  <c:v>46.651201057434101</c:v>
                </c:pt>
                <c:pt idx="47">
                  <c:v>43.138384008407634</c:v>
                </c:pt>
                <c:pt idx="48">
                  <c:v>39.893458080291786</c:v>
                </c:pt>
                <c:pt idx="49">
                  <c:v>36.895634651184103</c:v>
                </c:pt>
              </c:numCache>
            </c:numRef>
          </c:val>
        </c:ser>
        <c:marker val="1"/>
        <c:axId val="93767936"/>
        <c:axId val="93778304"/>
      </c:lineChart>
      <c:catAx>
        <c:axId val="93767936"/>
        <c:scaling>
          <c:orientation val="minMax"/>
        </c:scaling>
        <c:axPos val="b"/>
        <c:title>
          <c:tx>
            <c:rich>
              <a:bodyPr/>
              <a:lstStyle/>
              <a:p>
                <a:pPr>
                  <a:defRPr sz="1400" baseline="0"/>
                </a:pPr>
                <a:r>
                  <a:rPr lang="en-GB" sz="1400" b="1" i="0" baseline="0"/>
                  <a:t>Year</a:t>
                </a:r>
                <a:endParaRPr lang="en-GB" sz="1400" baseline="0"/>
              </a:p>
            </c:rich>
          </c:tx>
          <c:layout>
            <c:manualLayout>
              <c:xMode val="edge"/>
              <c:yMode val="edge"/>
              <c:x val="0.48278647463001367"/>
              <c:y val="0.94737885254496368"/>
            </c:manualLayout>
          </c:layout>
        </c:title>
        <c:numFmt formatCode="0" sourceLinked="1"/>
        <c:tickLblPos val="nextTo"/>
        <c:txPr>
          <a:bodyPr/>
          <a:lstStyle/>
          <a:p>
            <a:pPr>
              <a:defRPr sz="1400" baseline="0"/>
            </a:pPr>
            <a:endParaRPr lang="en-US"/>
          </a:p>
        </c:txPr>
        <c:crossAx val="93778304"/>
        <c:crosses val="autoZero"/>
        <c:auto val="1"/>
        <c:lblAlgn val="ctr"/>
        <c:lblOffset val="100"/>
        <c:tickLblSkip val="5"/>
      </c:catAx>
      <c:valAx>
        <c:axId val="93778304"/>
        <c:scaling>
          <c:orientation val="minMax"/>
        </c:scaling>
        <c:axPos val="l"/>
        <c:majorGridlines>
          <c:spPr>
            <a:ln>
              <a:solidFill>
                <a:sysClr val="window" lastClr="FFFFFF">
                  <a:lumMod val="75000"/>
                  <a:alpha val="40000"/>
                </a:sysClr>
              </a:solidFill>
            </a:ln>
          </c:spPr>
        </c:majorGridlines>
        <c:title>
          <c:tx>
            <c:rich>
              <a:bodyPr rot="-5400000" vert="horz"/>
              <a:lstStyle/>
              <a:p>
                <a:pPr>
                  <a:defRPr/>
                </a:pPr>
                <a:r>
                  <a:rPr lang="en-GB" sz="1400"/>
                  <a:t>Total LFG generated </a:t>
                </a:r>
                <a:r>
                  <a:rPr lang="en-GB" sz="1400">
                    <a:latin typeface="Calibri"/>
                    <a:cs typeface="Calibri"/>
                  </a:rPr>
                  <a:t/>
                </a:r>
                <a:br>
                  <a:rPr lang="en-GB" sz="1400">
                    <a:latin typeface="Calibri"/>
                    <a:cs typeface="Calibri"/>
                  </a:rPr>
                </a:br>
                <a:r>
                  <a:rPr lang="en-GB" sz="1400"/>
                  <a:t>(m</a:t>
                </a:r>
                <a:r>
                  <a:rPr lang="en-GB" sz="1400" baseline="30000"/>
                  <a:t>3</a:t>
                </a:r>
                <a:r>
                  <a:rPr lang="en-GB" sz="1400"/>
                  <a:t> hr</a:t>
                </a:r>
                <a:r>
                  <a:rPr lang="en-GB" sz="1400" baseline="30000"/>
                  <a:t>-1</a:t>
                </a:r>
                <a:r>
                  <a:rPr lang="en-GB" sz="1400"/>
                  <a:t>)</a:t>
                </a:r>
              </a:p>
            </c:rich>
          </c:tx>
          <c:layout>
            <c:manualLayout>
              <c:xMode val="edge"/>
              <c:yMode val="edge"/>
              <c:x val="1.1584444878169961E-2"/>
              <c:y val="0.31878236123562426"/>
            </c:manualLayout>
          </c:layout>
        </c:title>
        <c:numFmt formatCode="0" sourceLinked="1"/>
        <c:tickLblPos val="nextTo"/>
        <c:txPr>
          <a:bodyPr/>
          <a:lstStyle/>
          <a:p>
            <a:pPr>
              <a:defRPr sz="1400" baseline="0"/>
            </a:pPr>
            <a:endParaRPr lang="en-US"/>
          </a:p>
        </c:txPr>
        <c:crossAx val="93767936"/>
        <c:crosses val="autoZero"/>
        <c:crossBetween val="between"/>
      </c:valAx>
      <c:valAx>
        <c:axId val="93780224"/>
        <c:scaling>
          <c:orientation val="minMax"/>
          <c:max val="1"/>
          <c:min val="0"/>
        </c:scaling>
        <c:axPos val="r"/>
        <c:numFmt formatCode="0" sourceLinked="1"/>
        <c:majorTickMark val="none"/>
        <c:tickLblPos val="none"/>
        <c:crossAx val="93650944"/>
        <c:crosses val="max"/>
        <c:crossBetween val="between"/>
      </c:valAx>
      <c:catAx>
        <c:axId val="93650944"/>
        <c:scaling>
          <c:orientation val="minMax"/>
        </c:scaling>
        <c:delete val="1"/>
        <c:axPos val="b"/>
        <c:numFmt formatCode="0" sourceLinked="1"/>
        <c:tickLblPos val="none"/>
        <c:crossAx val="93780224"/>
        <c:crosses val="autoZero"/>
        <c:auto val="1"/>
        <c:lblAlgn val="ctr"/>
        <c:lblOffset val="100"/>
      </c:catAx>
    </c:plotArea>
    <c:legend>
      <c:legendPos val="r"/>
      <c:layout>
        <c:manualLayout>
          <c:xMode val="edge"/>
          <c:yMode val="edge"/>
          <c:x val="0.61879757914053435"/>
          <c:y val="0.15337965042462171"/>
          <c:w val="0.31943823618561851"/>
          <c:h val="0.42521185523703492"/>
        </c:manualLayout>
      </c:layout>
      <c:overlay val="1"/>
      <c:spPr>
        <a:solidFill>
          <a:schemeClr val="bg1"/>
        </a:solidFill>
        <a:ln>
          <a:solidFill>
            <a:schemeClr val="bg1">
              <a:lumMod val="75000"/>
            </a:schemeClr>
          </a:solidFill>
        </a:ln>
      </c:spPr>
      <c:txPr>
        <a:bodyPr/>
        <a:lstStyle/>
        <a:p>
          <a:pPr>
            <a:defRPr sz="1600" baseline="0"/>
          </a:pPr>
          <a:endParaRPr lang="en-US"/>
        </a:p>
      </c:txPr>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Annual GHG source estimate</a:t>
            </a:r>
          </a:p>
        </c:rich>
      </c:tx>
    </c:title>
    <c:plotArea>
      <c:layout>
        <c:manualLayout>
          <c:layoutTarget val="inner"/>
          <c:xMode val="edge"/>
          <c:yMode val="edge"/>
          <c:x val="0.15030511064261601"/>
          <c:y val="0.13335050932486187"/>
          <c:w val="0.8227871214450545"/>
          <c:h val="0.76487039823184777"/>
        </c:manualLayout>
      </c:layout>
      <c:areaChart>
        <c:grouping val="standard"/>
        <c:ser>
          <c:idx val="5"/>
          <c:order val="0"/>
          <c:tx>
            <c:strRef>
              <c:f>'Otterspool example'!$AC$16</c:f>
              <c:strCache>
                <c:ptCount val="1"/>
                <c:pt idx="0">
                  <c:v>Total GHG potential (tCO2e yr-1) (from CH4)</c:v>
                </c:pt>
              </c:strCache>
            </c:strRef>
          </c:tx>
          <c:spPr>
            <a:solidFill>
              <a:srgbClr val="FF0000"/>
            </a:solidFill>
            <a:ln>
              <a:noFill/>
            </a:ln>
          </c:spPr>
          <c:cat>
            <c:numRef>
              <c:f>'Otterspool example'!$V$17:$V$66</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'Otterspool example'!$AC$17:$AC$66</c:f>
              <c:numCache>
                <c:formatCode>0</c:formatCode>
                <c:ptCount val="50"/>
                <c:pt idx="0">
                  <c:v>236872.13820556598</c:v>
                </c:pt>
                <c:pt idx="1">
                  <c:v>230924.1090325923</c:v>
                </c:pt>
                <c:pt idx="2">
                  <c:v>206216.42503967311</c:v>
                </c:pt>
                <c:pt idx="3">
                  <c:v>185712.89516784699</c:v>
                </c:pt>
                <c:pt idx="4">
                  <c:v>168674.5887020868</c:v>
                </c:pt>
                <c:pt idx="5">
                  <c:v>153946.14804473927</c:v>
                </c:pt>
                <c:pt idx="6">
                  <c:v>140899.13455719032</c:v>
                </c:pt>
                <c:pt idx="7">
                  <c:v>129173.02537078911</c:v>
                </c:pt>
                <c:pt idx="8">
                  <c:v>118545.46056518549</c:v>
                </c:pt>
                <c:pt idx="9">
                  <c:v>108866.96000885013</c:v>
                </c:pt>
                <c:pt idx="10">
                  <c:v>100027.94082824713</c:v>
                </c:pt>
                <c:pt idx="11">
                  <c:v>91941.921080932618</c:v>
                </c:pt>
                <c:pt idx="12">
                  <c:v>84536.840457000711</c:v>
                </c:pt>
                <c:pt idx="13">
                  <c:v>77750.436503906254</c:v>
                </c:pt>
                <c:pt idx="14">
                  <c:v>71527.696465759218</c:v>
                </c:pt>
                <c:pt idx="15">
                  <c:v>65819.361883850084</c:v>
                </c:pt>
                <c:pt idx="16">
                  <c:v>60580.995467376706</c:v>
                </c:pt>
                <c:pt idx="17">
                  <c:v>55772.32311767582</c:v>
                </c:pt>
                <c:pt idx="18">
                  <c:v>51356.731473998996</c:v>
                </c:pt>
                <c:pt idx="19">
                  <c:v>47300.906026840152</c:v>
                </c:pt>
                <c:pt idx="20">
                  <c:v>43574.493157653807</c:v>
                </c:pt>
                <c:pt idx="21">
                  <c:v>40149.798068161006</c:v>
                </c:pt>
                <c:pt idx="22">
                  <c:v>37001.560470428434</c:v>
                </c:pt>
                <c:pt idx="23">
                  <c:v>34106.715322952317</c:v>
                </c:pt>
                <c:pt idx="24">
                  <c:v>31444.204410324153</c:v>
                </c:pt>
                <c:pt idx="25">
                  <c:v>28994.775959701474</c:v>
                </c:pt>
                <c:pt idx="26">
                  <c:v>26740.841082458523</c:v>
                </c:pt>
                <c:pt idx="27">
                  <c:v>24666.312271041905</c:v>
                </c:pt>
                <c:pt idx="28">
                  <c:v>22756.479280815096</c:v>
                </c:pt>
                <c:pt idx="29">
                  <c:v>20997.877534904514</c:v>
                </c:pt>
                <c:pt idx="30">
                  <c:v>19378.184941635089</c:v>
                </c:pt>
                <c:pt idx="31">
                  <c:v>17886.115721168491</c:v>
                </c:pt>
                <c:pt idx="32">
                  <c:v>16511.335167732283</c:v>
                </c:pt>
                <c:pt idx="33">
                  <c:v>15244.375907249427</c:v>
                </c:pt>
                <c:pt idx="34">
                  <c:v>14076.554154968306</c:v>
                </c:pt>
                <c:pt idx="35">
                  <c:v>12999.912890281677</c:v>
                </c:pt>
                <c:pt idx="36">
                  <c:v>12007.153816051483</c:v>
                </c:pt>
                <c:pt idx="37">
                  <c:v>11091.579785728454</c:v>
                </c:pt>
                <c:pt idx="38">
                  <c:v>10247.046950569153</c:v>
                </c:pt>
                <c:pt idx="39">
                  <c:v>9467.9131683540327</c:v>
                </c:pt>
                <c:pt idx="40">
                  <c:v>8748.9998707008344</c:v>
                </c:pt>
                <c:pt idx="41">
                  <c:v>8085.5486964797974</c:v>
                </c:pt>
                <c:pt idx="42">
                  <c:v>7473.187845325474</c:v>
                </c:pt>
                <c:pt idx="43">
                  <c:v>6907.9021696472191</c:v>
                </c:pt>
                <c:pt idx="44">
                  <c:v>6385.9972850418062</c:v>
                </c:pt>
                <c:pt idx="45">
                  <c:v>5904.0797562503813</c:v>
                </c:pt>
                <c:pt idx="46">
                  <c:v>5459.0260676193257</c:v>
                </c:pt>
                <c:pt idx="47">
                  <c:v>5047.9635567569767</c:v>
                </c:pt>
                <c:pt idx="48">
                  <c:v>4668.2491050910994</c:v>
                </c:pt>
                <c:pt idx="49">
                  <c:v>4317.4500715255754</c:v>
                </c:pt>
              </c:numCache>
            </c:numRef>
          </c:val>
        </c:ser>
        <c:axId val="93685248"/>
        <c:axId val="93687168"/>
      </c:areaChart>
      <c:barChart>
        <c:barDir val="col"/>
        <c:grouping val="clustered"/>
        <c:ser>
          <c:idx val="0"/>
          <c:order val="1"/>
          <c:tx>
            <c:v>Current Year</c:v>
          </c:tx>
          <c:spPr>
            <a:ln w="25400">
              <a:noFill/>
            </a:ln>
          </c:spPr>
          <c:cat>
            <c:numRef>
              <c:f>'Otterspool example'!$V$17:$V$66</c:f>
              <c:numCache>
                <c:formatCode>0</c:formatCode>
                <c:ptCount val="50"/>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numCache>
            </c:numRef>
          </c:cat>
          <c:val>
            <c:numRef>
              <c:f>'Otterspool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3694976"/>
        <c:axId val="93693440"/>
      </c:barChart>
      <c:catAx>
        <c:axId val="93685248"/>
        <c:scaling>
          <c:orientation val="minMax"/>
        </c:scaling>
        <c:axPos val="b"/>
        <c:title>
          <c:tx>
            <c:rich>
              <a:bodyPr/>
              <a:lstStyle/>
              <a:p>
                <a:pPr>
                  <a:defRPr sz="1400" baseline="0"/>
                </a:pPr>
                <a:r>
                  <a:rPr lang="en-GB" sz="1400" baseline="0"/>
                  <a:t>Year</a:t>
                </a:r>
              </a:p>
            </c:rich>
          </c:tx>
          <c:layout>
            <c:manualLayout>
              <c:xMode val="edge"/>
              <c:yMode val="edge"/>
              <c:x val="0.48018054135190491"/>
              <c:y val="0.94755056580749697"/>
            </c:manualLayout>
          </c:layout>
        </c:title>
        <c:numFmt formatCode="0" sourceLinked="1"/>
        <c:tickLblPos val="nextTo"/>
        <c:txPr>
          <a:bodyPr/>
          <a:lstStyle/>
          <a:p>
            <a:pPr>
              <a:defRPr sz="1400" baseline="0"/>
            </a:pPr>
            <a:endParaRPr lang="en-US"/>
          </a:p>
        </c:txPr>
        <c:crossAx val="93687168"/>
        <c:crosses val="autoZero"/>
        <c:auto val="1"/>
        <c:lblAlgn val="ctr"/>
        <c:lblOffset val="100"/>
        <c:tickLblSkip val="5"/>
      </c:catAx>
      <c:valAx>
        <c:axId val="93687168"/>
        <c:scaling>
          <c:orientation val="minMax"/>
          <c:min val="0"/>
        </c:scaling>
        <c:axPos val="l"/>
        <c:majorGridlines>
          <c:spPr>
            <a:ln>
              <a:solidFill>
                <a:sysClr val="window" lastClr="FFFFFF">
                  <a:lumMod val="75000"/>
                  <a:alpha val="40000"/>
                </a:sysClr>
              </a:solidFill>
            </a:ln>
          </c:spPr>
        </c:majorGridlines>
        <c:title>
          <c:tx>
            <c:rich>
              <a:bodyPr rot="-5400000" vert="horz"/>
              <a:lstStyle/>
              <a:p>
                <a:pPr>
                  <a:defRPr sz="1400"/>
                </a:pPr>
                <a:r>
                  <a:rPr lang="en-GB" sz="1400"/>
                  <a:t>Total  GHG potential </a:t>
                </a:r>
                <a:br>
                  <a:rPr lang="en-GB" sz="1400"/>
                </a:br>
                <a:r>
                  <a:rPr lang="en-GB" sz="1400"/>
                  <a:t>(tCO</a:t>
                </a:r>
                <a:r>
                  <a:rPr lang="en-GB" sz="1400" baseline="-25000"/>
                  <a:t>2</a:t>
                </a:r>
                <a:r>
                  <a:rPr lang="en-GB" sz="1400"/>
                  <a:t>e yr</a:t>
                </a:r>
                <a:r>
                  <a:rPr lang="en-GB" sz="1400" baseline="30000"/>
                  <a:t>-1</a:t>
                </a:r>
                <a:r>
                  <a:rPr lang="en-GB" sz="1400"/>
                  <a:t>)</a:t>
                </a:r>
              </a:p>
            </c:rich>
          </c:tx>
          <c:layout>
            <c:manualLayout>
              <c:xMode val="edge"/>
              <c:yMode val="edge"/>
              <c:x val="2.3311609436634399E-2"/>
              <c:y val="0.35572363631559945"/>
            </c:manualLayout>
          </c:layout>
        </c:title>
        <c:numFmt formatCode="#,##0" sourceLinked="0"/>
        <c:tickLblPos val="nextTo"/>
        <c:txPr>
          <a:bodyPr/>
          <a:lstStyle/>
          <a:p>
            <a:pPr>
              <a:defRPr sz="1400" baseline="0"/>
            </a:pPr>
            <a:endParaRPr lang="en-US"/>
          </a:p>
        </c:txPr>
        <c:crossAx val="93685248"/>
        <c:crosses val="autoZero"/>
        <c:crossBetween val="midCat"/>
      </c:valAx>
      <c:valAx>
        <c:axId val="93693440"/>
        <c:scaling>
          <c:orientation val="minMax"/>
          <c:max val="1"/>
          <c:min val="0"/>
        </c:scaling>
        <c:axPos val="r"/>
        <c:numFmt formatCode="0" sourceLinked="1"/>
        <c:majorTickMark val="none"/>
        <c:tickLblPos val="none"/>
        <c:crossAx val="93694976"/>
        <c:crosses val="max"/>
        <c:crossBetween val="between"/>
      </c:valAx>
      <c:catAx>
        <c:axId val="93694976"/>
        <c:scaling>
          <c:orientation val="minMax"/>
        </c:scaling>
        <c:delete val="1"/>
        <c:axPos val="b"/>
        <c:numFmt formatCode="0" sourceLinked="1"/>
        <c:tickLblPos val="none"/>
        <c:crossAx val="93693440"/>
        <c:crosses val="autoZero"/>
        <c:auto val="1"/>
        <c:lblAlgn val="ctr"/>
        <c:lblOffset val="100"/>
      </c:catAx>
    </c:plotArea>
    <c:legend>
      <c:legendPos val="r"/>
      <c:layout>
        <c:manualLayout>
          <c:xMode val="edge"/>
          <c:yMode val="edge"/>
          <c:x val="0.67706832315158905"/>
          <c:y val="0.15808321095138891"/>
          <c:w val="0.28548996082514289"/>
          <c:h val="0.27613333248017624"/>
        </c:manualLayout>
      </c:layout>
      <c:overlay val="1"/>
      <c:spPr>
        <a:solidFill>
          <a:sysClr val="window" lastClr="FFFFFF"/>
        </a:solidFill>
        <a:ln>
          <a:solidFill>
            <a:sysClr val="window" lastClr="FFFFFF">
              <a:lumMod val="75000"/>
            </a:sysClr>
          </a:solidFill>
        </a:ln>
      </c:spPr>
      <c:txPr>
        <a:bodyPr/>
        <a:lstStyle/>
        <a:p>
          <a:pPr>
            <a:defRPr sz="1600" baseline="0"/>
          </a:pPr>
          <a:endParaRPr lang="en-US"/>
        </a:p>
      </c:txPr>
    </c:legend>
    <c:plotVisOnly val="1"/>
    <c:dispBlanksAs val="zero"/>
  </c:chart>
  <c:printSettings>
    <c:headerFooter/>
    <c:pageMargins b="0.75000000000000411" l="0.70000000000000062" r="0.70000000000000062" t="0.750000000000004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2400"/>
              <a:t>Operational LFG generation</a:t>
            </a:r>
            <a:r>
              <a:rPr lang="en-GB" sz="2400" baseline="0"/>
              <a:t> </a:t>
            </a:r>
            <a:r>
              <a:rPr lang="en-GB" sz="2400"/>
              <a:t>estimate</a:t>
            </a:r>
          </a:p>
        </c:rich>
      </c:tx>
    </c:title>
    <c:plotArea>
      <c:layout>
        <c:manualLayout>
          <c:layoutTarget val="inner"/>
          <c:xMode val="edge"/>
          <c:yMode val="edge"/>
          <c:x val="0.11178834515481781"/>
          <c:y val="0.11307045974091984"/>
          <c:w val="0.8697619549500577"/>
          <c:h val="0.76694843789688183"/>
        </c:manualLayout>
      </c:layout>
      <c:barChart>
        <c:barDir val="col"/>
        <c:grouping val="clustered"/>
        <c:ser>
          <c:idx val="0"/>
          <c:order val="3"/>
          <c:tx>
            <c:v>Current Year</c:v>
          </c:tx>
          <c:cat>
            <c:numRef>
              <c:f>'Strumpshaw example'!$V$17:$V$66</c:f>
              <c:numCache>
                <c:formatCode>0</c:formatCode>
                <c:ptCount val="50"/>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pt idx="35">
                  <c:v>2023</c:v>
                </c:pt>
                <c:pt idx="36">
                  <c:v>2024</c:v>
                </c:pt>
                <c:pt idx="37">
                  <c:v>2025</c:v>
                </c:pt>
                <c:pt idx="38">
                  <c:v>2026</c:v>
                </c:pt>
                <c:pt idx="39">
                  <c:v>2027</c:v>
                </c:pt>
                <c:pt idx="40">
                  <c:v>2028</c:v>
                </c:pt>
                <c:pt idx="41">
                  <c:v>2029</c:v>
                </c:pt>
                <c:pt idx="42">
                  <c:v>2030</c:v>
                </c:pt>
                <c:pt idx="43">
                  <c:v>2031</c:v>
                </c:pt>
                <c:pt idx="44">
                  <c:v>2032</c:v>
                </c:pt>
                <c:pt idx="45">
                  <c:v>2033</c:v>
                </c:pt>
                <c:pt idx="46">
                  <c:v>2034</c:v>
                </c:pt>
                <c:pt idx="47">
                  <c:v>2035</c:v>
                </c:pt>
                <c:pt idx="48">
                  <c:v>2036</c:v>
                </c:pt>
                <c:pt idx="49">
                  <c:v>2037</c:v>
                </c:pt>
              </c:numCache>
            </c:numRef>
          </c:cat>
          <c:val>
            <c:numRef>
              <c:f>'Strumpshaw example'!$Z$17:$Z$66</c:f>
              <c:numCache>
                <c:formatCode>0</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93939968"/>
        <c:axId val="93938432"/>
      </c:barChart>
      <c:lineChart>
        <c:grouping val="standard"/>
        <c:ser>
          <c:idx val="2"/>
          <c:order val="0"/>
          <c:tx>
            <c:strRef>
              <c:f>'Strumpshaw example'!$X$16</c:f>
              <c:strCache>
                <c:ptCount val="1"/>
                <c:pt idx="0">
                  <c:v>+33%</c:v>
                </c:pt>
              </c:strCache>
            </c:strRef>
          </c:tx>
          <c:spPr>
            <a:ln>
              <a:solidFill>
                <a:srgbClr val="FF5050"/>
              </a:solidFill>
            </a:ln>
          </c:spPr>
          <c:marker>
            <c:symbol val="none"/>
          </c:marker>
          <c:cat>
            <c:numRef>
              <c:f>'Strumpshaw example'!$V$17:$V$66</c:f>
              <c:numCache>
                <c:formatCode>0</c:formatCode>
                <c:ptCount val="50"/>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pt idx="35">
                  <c:v>2023</c:v>
                </c:pt>
                <c:pt idx="36">
                  <c:v>2024</c:v>
                </c:pt>
                <c:pt idx="37">
                  <c:v>2025</c:v>
                </c:pt>
                <c:pt idx="38">
                  <c:v>2026</c:v>
                </c:pt>
                <c:pt idx="39">
                  <c:v>2027</c:v>
                </c:pt>
                <c:pt idx="40">
                  <c:v>2028</c:v>
                </c:pt>
                <c:pt idx="41">
                  <c:v>2029</c:v>
                </c:pt>
                <c:pt idx="42">
                  <c:v>2030</c:v>
                </c:pt>
                <c:pt idx="43">
                  <c:v>2031</c:v>
                </c:pt>
                <c:pt idx="44">
                  <c:v>2032</c:v>
                </c:pt>
                <c:pt idx="45">
                  <c:v>2033</c:v>
                </c:pt>
                <c:pt idx="46">
                  <c:v>2034</c:v>
                </c:pt>
                <c:pt idx="47">
                  <c:v>2035</c:v>
                </c:pt>
                <c:pt idx="48">
                  <c:v>2036</c:v>
                </c:pt>
                <c:pt idx="49">
                  <c:v>2037</c:v>
                </c:pt>
              </c:numCache>
            </c:numRef>
          </c:cat>
          <c:val>
            <c:numRef>
              <c:f>'Strumpshaw example'!$X$17:$X$66</c:f>
              <c:numCache>
                <c:formatCode>0</c:formatCode>
                <c:ptCount val="50"/>
                <c:pt idx="0">
                  <c:v>1337.8301071166986</c:v>
                </c:pt>
                <c:pt idx="1">
                  <c:v>1312.0055480957053</c:v>
                </c:pt>
                <c:pt idx="2">
                  <c:v>1167.427611541747</c:v>
                </c:pt>
                <c:pt idx="3">
                  <c:v>1048.5413070678685</c:v>
                </c:pt>
                <c:pt idx="4">
                  <c:v>950.69814910888886</c:v>
                </c:pt>
                <c:pt idx="5">
                  <c:v>866.66295471191245</c:v>
                </c:pt>
                <c:pt idx="6">
                  <c:v>792.52757034301817</c:v>
                </c:pt>
                <c:pt idx="7">
                  <c:v>726.07277565002414</c:v>
                </c:pt>
                <c:pt idx="8">
                  <c:v>665.94799232483183</c:v>
                </c:pt>
                <c:pt idx="9">
                  <c:v>611.25875396728634</c:v>
                </c:pt>
                <c:pt idx="10">
                  <c:v>561.35879211425743</c:v>
                </c:pt>
                <c:pt idx="11">
                  <c:v>515.74384689331032</c:v>
                </c:pt>
                <c:pt idx="12">
                  <c:v>473.99732933044453</c:v>
                </c:pt>
                <c:pt idx="13">
                  <c:v>435.76109771728534</c:v>
                </c:pt>
                <c:pt idx="14">
                  <c:v>400.72011013031016</c:v>
                </c:pt>
                <c:pt idx="15">
                  <c:v>368.59278469085712</c:v>
                </c:pt>
                <c:pt idx="16">
                  <c:v>339.12554550170887</c:v>
                </c:pt>
                <c:pt idx="17">
                  <c:v>312.08881454467792</c:v>
                </c:pt>
                <c:pt idx="18">
                  <c:v>287.27424659729007</c:v>
                </c:pt>
                <c:pt idx="19">
                  <c:v>264.49221782684322</c:v>
                </c:pt>
                <c:pt idx="20">
                  <c:v>243.57017688751202</c:v>
                </c:pt>
                <c:pt idx="21">
                  <c:v>224.35081844329835</c:v>
                </c:pt>
                <c:pt idx="22">
                  <c:v>206.69070062637326</c:v>
                </c:pt>
                <c:pt idx="23">
                  <c:v>190.45898933410629</c:v>
                </c:pt>
                <c:pt idx="24">
                  <c:v>175.53624057769792</c:v>
                </c:pt>
                <c:pt idx="25">
                  <c:v>161.81339845657359</c:v>
                </c:pt>
                <c:pt idx="26">
                  <c:v>149.19084386825548</c:v>
                </c:pt>
                <c:pt idx="27">
                  <c:v>137.5775320053101</c:v>
                </c:pt>
                <c:pt idx="28">
                  <c:v>126.89024400711047</c:v>
                </c:pt>
                <c:pt idx="29">
                  <c:v>117.05286397933934</c:v>
                </c:pt>
                <c:pt idx="30">
                  <c:v>107.99578285217308</c:v>
                </c:pt>
                <c:pt idx="31">
                  <c:v>99.655270528793338</c:v>
                </c:pt>
                <c:pt idx="32">
                  <c:v>91.97301292419445</c:v>
                </c:pt>
                <c:pt idx="33">
                  <c:v>84.895585584640301</c:v>
                </c:pt>
                <c:pt idx="34">
                  <c:v>78.374066829681226</c:v>
                </c:pt>
                <c:pt idx="35">
                  <c:v>72.363606500625465</c:v>
                </c:pt>
                <c:pt idx="36">
                  <c:v>66.823108863830413</c:v>
                </c:pt>
                <c:pt idx="37">
                  <c:v>61.714877462386831</c:v>
                </c:pt>
                <c:pt idx="38">
                  <c:v>57.004348754883026</c:v>
                </c:pt>
                <c:pt idx="39">
                  <c:v>52.659803557395946</c:v>
                </c:pt>
                <c:pt idx="40">
                  <c:v>48.652129220962543</c:v>
                </c:pt>
                <c:pt idx="41">
                  <c:v>44.95459766387939</c:v>
                </c:pt>
                <c:pt idx="42">
                  <c:v>41.542668771743791</c:v>
                </c:pt>
                <c:pt idx="43">
                  <c:v>38.393800139427199</c:v>
                </c:pt>
                <c:pt idx="44">
                  <c:v>35.487272667884824</c:v>
                </c:pt>
                <c:pt idx="45">
                  <c:v>32.804051041603095</c:v>
                </c:pt>
                <c:pt idx="46">
                  <c:v>30.326628351211525</c:v>
                </c:pt>
                <c:pt idx="47">
                  <c:v>28.038915109634388</c:v>
                </c:pt>
                <c:pt idx="48">
                  <c:v>25.926104485988638</c:v>
                </c:pt>
                <c:pt idx="49">
                  <c:v>23.974578762054463</c:v>
                </c:pt>
              </c:numCache>
            </c:numRef>
          </c:val>
        </c:ser>
        <c:ser>
          <c:idx val="1"/>
          <c:order val="1"/>
          <c:tx>
            <c:strRef>
              <c:f>'Strumpshaw example'!$W$16</c:f>
              <c:strCache>
                <c:ptCount val="1"/>
                <c:pt idx="0">
                  <c:v>Total LFG generated (m3 hr-1) (50% CH4)</c:v>
                </c:pt>
              </c:strCache>
            </c:strRef>
          </c:tx>
          <c:spPr>
            <a:ln w="38100">
              <a:solidFill>
                <a:srgbClr val="FF0000"/>
              </a:solidFill>
            </a:ln>
          </c:spPr>
          <c:marker>
            <c:symbol val="none"/>
          </c:marker>
          <c:cat>
            <c:numRef>
              <c:f>'Strumpshaw example'!$V$17:$V$66</c:f>
              <c:numCache>
                <c:formatCode>0</c:formatCode>
                <c:ptCount val="50"/>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pt idx="35">
                  <c:v>2023</c:v>
                </c:pt>
                <c:pt idx="36">
                  <c:v>2024</c:v>
                </c:pt>
                <c:pt idx="37">
                  <c:v>2025</c:v>
                </c:pt>
                <c:pt idx="38">
                  <c:v>2026</c:v>
                </c:pt>
                <c:pt idx="39">
                  <c:v>2027</c:v>
                </c:pt>
                <c:pt idx="40">
                  <c:v>2028</c:v>
                </c:pt>
                <c:pt idx="41">
                  <c:v>2029</c:v>
                </c:pt>
                <c:pt idx="42">
                  <c:v>2030</c:v>
                </c:pt>
                <c:pt idx="43">
                  <c:v>2031</c:v>
                </c:pt>
                <c:pt idx="44">
                  <c:v>2032</c:v>
                </c:pt>
                <c:pt idx="45">
                  <c:v>2033</c:v>
                </c:pt>
                <c:pt idx="46">
                  <c:v>2034</c:v>
                </c:pt>
                <c:pt idx="47">
                  <c:v>2035</c:v>
                </c:pt>
                <c:pt idx="48">
                  <c:v>2036</c:v>
                </c:pt>
                <c:pt idx="49">
                  <c:v>2037</c:v>
                </c:pt>
              </c:numCache>
            </c:numRef>
          </c:cat>
          <c:val>
            <c:numRef>
              <c:f>'Strumpshaw example'!$W$17:$W$66</c:f>
              <c:numCache>
                <c:formatCode>0</c:formatCode>
                <c:ptCount val="50"/>
                <c:pt idx="0">
                  <c:v>1005.8872985839839</c:v>
                </c:pt>
                <c:pt idx="1">
                  <c:v>986.47033691406409</c:v>
                </c:pt>
                <c:pt idx="2">
                  <c:v>877.76512145996003</c:v>
                </c:pt>
                <c:pt idx="3">
                  <c:v>788.37692260741994</c:v>
                </c:pt>
                <c:pt idx="4">
                  <c:v>714.81063842773597</c:v>
                </c:pt>
                <c:pt idx="5">
                  <c:v>651.62628173828</c:v>
                </c:pt>
                <c:pt idx="6">
                  <c:v>595.88539123535202</c:v>
                </c:pt>
                <c:pt idx="7">
                  <c:v>545.91938018798805</c:v>
                </c:pt>
                <c:pt idx="8">
                  <c:v>500.71277618408408</c:v>
                </c:pt>
                <c:pt idx="9">
                  <c:v>459.59304809570398</c:v>
                </c:pt>
                <c:pt idx="10">
                  <c:v>422.07427978515597</c:v>
                </c:pt>
                <c:pt idx="11">
                  <c:v>387.77732849121077</c:v>
                </c:pt>
                <c:pt idx="12">
                  <c:v>356.38896942138683</c:v>
                </c:pt>
                <c:pt idx="13">
                  <c:v>327.63992309570324</c:v>
                </c:pt>
                <c:pt idx="14">
                  <c:v>301.29331588745123</c:v>
                </c:pt>
                <c:pt idx="15">
                  <c:v>277.13743209838879</c:v>
                </c:pt>
                <c:pt idx="16">
                  <c:v>254.9816131591796</c:v>
                </c:pt>
                <c:pt idx="17">
                  <c:v>234.6532440185548</c:v>
                </c:pt>
                <c:pt idx="18">
                  <c:v>215.99567413330081</c:v>
                </c:pt>
                <c:pt idx="19">
                  <c:v>198.86632919311521</c:v>
                </c:pt>
                <c:pt idx="20">
                  <c:v>183.135471343994</c:v>
                </c:pt>
                <c:pt idx="21">
                  <c:v>168.6848258972168</c:v>
                </c:pt>
                <c:pt idx="22">
                  <c:v>155.40654182434079</c:v>
                </c:pt>
                <c:pt idx="23">
                  <c:v>143.20224761962879</c:v>
                </c:pt>
                <c:pt idx="24">
                  <c:v>131.98213577270519</c:v>
                </c:pt>
                <c:pt idx="25">
                  <c:v>121.6642093658448</c:v>
                </c:pt>
                <c:pt idx="26">
                  <c:v>112.17356681823721</c:v>
                </c:pt>
                <c:pt idx="27">
                  <c:v>103.4417533874512</c:v>
                </c:pt>
                <c:pt idx="28">
                  <c:v>95.406198501586815</c:v>
                </c:pt>
                <c:pt idx="29">
                  <c:v>88.009672164916793</c:v>
                </c:pt>
                <c:pt idx="30">
                  <c:v>81.199836730957202</c:v>
                </c:pt>
                <c:pt idx="31">
                  <c:v>74.928774833679199</c:v>
                </c:pt>
                <c:pt idx="32">
                  <c:v>69.152641296386804</c:v>
                </c:pt>
                <c:pt idx="33">
                  <c:v>63.831267356872402</c:v>
                </c:pt>
                <c:pt idx="34">
                  <c:v>58.927869796752795</c:v>
                </c:pt>
                <c:pt idx="35">
                  <c:v>54.4087266921996</c:v>
                </c:pt>
                <c:pt idx="36">
                  <c:v>50.242938995361207</c:v>
                </c:pt>
                <c:pt idx="37">
                  <c:v>46.402163505554007</c:v>
                </c:pt>
                <c:pt idx="38">
                  <c:v>42.860412597656406</c:v>
                </c:pt>
                <c:pt idx="39">
                  <c:v>39.593837261199958</c:v>
                </c:pt>
                <c:pt idx="40">
                  <c:v>36.580548286438002</c:v>
                </c:pt>
                <c:pt idx="41">
                  <c:v>33.800449371337884</c:v>
                </c:pt>
                <c:pt idx="42">
                  <c:v>31.235089302062999</c:v>
                </c:pt>
                <c:pt idx="43">
                  <c:v>28.867518901824962</c:v>
                </c:pt>
                <c:pt idx="44">
                  <c:v>26.68215990066528</c:v>
                </c:pt>
                <c:pt idx="45">
                  <c:v>24.664700031280521</c:v>
                </c:pt>
                <c:pt idx="46">
                  <c:v>22.801976203918439</c:v>
                </c:pt>
                <c:pt idx="47">
                  <c:v>21.081891059875478</c:v>
                </c:pt>
                <c:pt idx="48">
                  <c:v>19.493311643600478</c:v>
                </c:pt>
                <c:pt idx="49">
                  <c:v>18.025999069213881</c:v>
                </c:pt>
              </c:numCache>
            </c:numRef>
          </c:val>
        </c:ser>
        <c:ser>
          <c:idx val="3"/>
          <c:order val="2"/>
          <c:tx>
            <c:strRef>
              <c:f>'Strumpshaw example'!$Y$16</c:f>
              <c:strCache>
                <c:ptCount val="1"/>
                <c:pt idx="0">
                  <c:v>-33%</c:v>
                </c:pt>
              </c:strCache>
            </c:strRef>
          </c:tx>
          <c:spPr>
            <a:ln>
              <a:solidFill>
                <a:srgbClr val="FF5050"/>
              </a:solidFill>
            </a:ln>
          </c:spPr>
          <c:marker>
            <c:symbol val="none"/>
          </c:marker>
          <c:cat>
            <c:numRef>
              <c:f>'Strumpshaw example'!$V$17:$V$66</c:f>
              <c:numCache>
                <c:formatCode>0</c:formatCode>
                <c:ptCount val="50"/>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pt idx="35">
                  <c:v>2023</c:v>
                </c:pt>
                <c:pt idx="36">
                  <c:v>2024</c:v>
                </c:pt>
                <c:pt idx="37">
                  <c:v>2025</c:v>
                </c:pt>
                <c:pt idx="38">
                  <c:v>2026</c:v>
                </c:pt>
                <c:pt idx="39">
                  <c:v>2027</c:v>
                </c:pt>
                <c:pt idx="40">
                  <c:v>2028</c:v>
                </c:pt>
                <c:pt idx="41">
                  <c:v>2029</c:v>
                </c:pt>
                <c:pt idx="42">
                  <c:v>2030</c:v>
                </c:pt>
                <c:pt idx="43">
                  <c:v>2031</c:v>
                </c:pt>
                <c:pt idx="44">
                  <c:v>2032</c:v>
                </c:pt>
                <c:pt idx="45">
                  <c:v>2033</c:v>
                </c:pt>
                <c:pt idx="46">
                  <c:v>2034</c:v>
                </c:pt>
                <c:pt idx="47">
                  <c:v>2035</c:v>
                </c:pt>
                <c:pt idx="48">
                  <c:v>2036</c:v>
                </c:pt>
                <c:pt idx="49">
                  <c:v>2037</c:v>
                </c:pt>
              </c:numCache>
            </c:numRef>
          </c:cat>
          <c:val>
            <c:numRef>
              <c:f>'Strumpshaw example'!$Y$17:$Y$66</c:f>
              <c:numCache>
                <c:formatCode>0</c:formatCode>
                <c:ptCount val="50"/>
                <c:pt idx="0">
                  <c:v>673.94449005126921</c:v>
                </c:pt>
                <c:pt idx="1">
                  <c:v>660.93512573242299</c:v>
                </c:pt>
                <c:pt idx="2">
                  <c:v>588.10263137817321</c:v>
                </c:pt>
                <c:pt idx="3">
                  <c:v>528.21253814697138</c:v>
                </c:pt>
                <c:pt idx="4">
                  <c:v>478.92312774658313</c:v>
                </c:pt>
                <c:pt idx="5">
                  <c:v>436.58960876464761</c:v>
                </c:pt>
                <c:pt idx="6">
                  <c:v>399.24321212768587</c:v>
                </c:pt>
                <c:pt idx="7">
                  <c:v>365.76598472595202</c:v>
                </c:pt>
                <c:pt idx="8">
                  <c:v>335.47756004333633</c:v>
                </c:pt>
                <c:pt idx="9">
                  <c:v>307.92734222412167</c:v>
                </c:pt>
                <c:pt idx="10">
                  <c:v>282.78976745605451</c:v>
                </c:pt>
                <c:pt idx="11">
                  <c:v>259.81081008911121</c:v>
                </c:pt>
                <c:pt idx="12">
                  <c:v>238.78060951232919</c:v>
                </c:pt>
                <c:pt idx="13">
                  <c:v>219.5187484741212</c:v>
                </c:pt>
                <c:pt idx="14">
                  <c:v>201.86652164459232</c:v>
                </c:pt>
                <c:pt idx="15">
                  <c:v>185.68207950592048</c:v>
                </c:pt>
                <c:pt idx="16">
                  <c:v>170.83768081665033</c:v>
                </c:pt>
                <c:pt idx="17">
                  <c:v>157.21767349243171</c:v>
                </c:pt>
                <c:pt idx="18">
                  <c:v>144.71710166931155</c:v>
                </c:pt>
                <c:pt idx="19">
                  <c:v>133.2404405593872</c:v>
                </c:pt>
                <c:pt idx="20">
                  <c:v>122.70076580047599</c:v>
                </c:pt>
                <c:pt idx="21">
                  <c:v>113.01883335113526</c:v>
                </c:pt>
                <c:pt idx="22">
                  <c:v>104.12238302230834</c:v>
                </c:pt>
                <c:pt idx="23">
                  <c:v>95.945505905151293</c:v>
                </c:pt>
                <c:pt idx="24">
                  <c:v>88.428030967712488</c:v>
                </c:pt>
                <c:pt idx="25">
                  <c:v>81.515020275116015</c:v>
                </c:pt>
                <c:pt idx="26">
                  <c:v>75.156289768218926</c:v>
                </c:pt>
                <c:pt idx="27">
                  <c:v>69.305974769592311</c:v>
                </c:pt>
                <c:pt idx="28">
                  <c:v>63.922152996063168</c:v>
                </c:pt>
                <c:pt idx="29">
                  <c:v>58.966480350494258</c:v>
                </c:pt>
                <c:pt idx="30">
                  <c:v>54.403890609741332</c:v>
                </c:pt>
                <c:pt idx="31">
                  <c:v>50.202279138565068</c:v>
                </c:pt>
                <c:pt idx="32">
                  <c:v>46.332269668579158</c:v>
                </c:pt>
                <c:pt idx="33">
                  <c:v>42.766949129104511</c:v>
                </c:pt>
                <c:pt idx="34">
                  <c:v>39.481672763824378</c:v>
                </c:pt>
                <c:pt idx="35">
                  <c:v>36.453846883773735</c:v>
                </c:pt>
                <c:pt idx="36">
                  <c:v>33.662769126892009</c:v>
                </c:pt>
                <c:pt idx="37">
                  <c:v>31.089449548721188</c:v>
                </c:pt>
                <c:pt idx="38">
                  <c:v>28.716476440429794</c:v>
                </c:pt>
                <c:pt idx="39">
                  <c:v>26.527870965003974</c:v>
                </c:pt>
                <c:pt idx="40">
                  <c:v>24.508967351913462</c:v>
                </c:pt>
                <c:pt idx="41">
                  <c:v>22.646301078796384</c:v>
                </c:pt>
                <c:pt idx="42">
                  <c:v>20.92750983238221</c:v>
                </c:pt>
                <c:pt idx="43">
                  <c:v>19.341237664222724</c:v>
                </c:pt>
                <c:pt idx="44">
                  <c:v>17.877047133445739</c:v>
                </c:pt>
                <c:pt idx="45">
                  <c:v>16.52534902095795</c:v>
                </c:pt>
                <c:pt idx="46">
                  <c:v>15.277324056625355</c:v>
                </c:pt>
                <c:pt idx="47">
                  <c:v>14.124867010116571</c:v>
                </c:pt>
                <c:pt idx="48">
                  <c:v>13.060518801212321</c:v>
                </c:pt>
                <c:pt idx="49">
                  <c:v>12.077419376373301</c:v>
                </c:pt>
              </c:numCache>
            </c:numRef>
          </c:val>
        </c:ser>
        <c:marker val="1"/>
        <c:axId val="93926144"/>
        <c:axId val="93928064"/>
      </c:lineChart>
      <c:catAx>
        <c:axId val="93926144"/>
        <c:scaling>
          <c:orientation val="minMax"/>
        </c:scaling>
        <c:axPos val="b"/>
        <c:title>
          <c:tx>
            <c:rich>
              <a:bodyPr/>
              <a:lstStyle/>
              <a:p>
                <a:pPr>
                  <a:defRPr sz="1400" baseline="0"/>
                </a:pPr>
                <a:r>
                  <a:rPr lang="en-GB" sz="1400" b="1" i="0" baseline="0"/>
                  <a:t>Year</a:t>
                </a:r>
                <a:endParaRPr lang="en-GB" sz="1400" baseline="0"/>
              </a:p>
            </c:rich>
          </c:tx>
          <c:layout>
            <c:manualLayout>
              <c:xMode val="edge"/>
              <c:yMode val="edge"/>
              <c:x val="0.48278647463001367"/>
              <c:y val="0.94737885254496368"/>
            </c:manualLayout>
          </c:layout>
        </c:title>
        <c:numFmt formatCode="0" sourceLinked="1"/>
        <c:tickLblPos val="nextTo"/>
        <c:txPr>
          <a:bodyPr/>
          <a:lstStyle/>
          <a:p>
            <a:pPr>
              <a:defRPr sz="1400" baseline="0"/>
            </a:pPr>
            <a:endParaRPr lang="en-US"/>
          </a:p>
        </c:txPr>
        <c:crossAx val="93928064"/>
        <c:crosses val="autoZero"/>
        <c:auto val="1"/>
        <c:lblAlgn val="ctr"/>
        <c:lblOffset val="100"/>
        <c:tickLblSkip val="5"/>
      </c:catAx>
      <c:valAx>
        <c:axId val="93928064"/>
        <c:scaling>
          <c:orientation val="minMax"/>
        </c:scaling>
        <c:axPos val="l"/>
        <c:majorGridlines>
          <c:spPr>
            <a:ln>
              <a:solidFill>
                <a:sysClr val="window" lastClr="FFFFFF">
                  <a:lumMod val="75000"/>
                  <a:alpha val="40000"/>
                </a:sysClr>
              </a:solidFill>
            </a:ln>
          </c:spPr>
        </c:majorGridlines>
        <c:title>
          <c:tx>
            <c:rich>
              <a:bodyPr rot="-5400000" vert="horz"/>
              <a:lstStyle/>
              <a:p>
                <a:pPr>
                  <a:defRPr/>
                </a:pPr>
                <a:r>
                  <a:rPr lang="en-GB" sz="1400"/>
                  <a:t>Total LFG generated </a:t>
                </a:r>
                <a:r>
                  <a:rPr lang="en-GB" sz="1400">
                    <a:latin typeface="Calibri"/>
                    <a:cs typeface="Calibri"/>
                  </a:rPr>
                  <a:t/>
                </a:r>
                <a:br>
                  <a:rPr lang="en-GB" sz="1400">
                    <a:latin typeface="Calibri"/>
                    <a:cs typeface="Calibri"/>
                  </a:rPr>
                </a:br>
                <a:r>
                  <a:rPr lang="en-GB" sz="1400"/>
                  <a:t>(m</a:t>
                </a:r>
                <a:r>
                  <a:rPr lang="en-GB" sz="1400" baseline="30000"/>
                  <a:t>3</a:t>
                </a:r>
                <a:r>
                  <a:rPr lang="en-GB" sz="1400"/>
                  <a:t> hr</a:t>
                </a:r>
                <a:r>
                  <a:rPr lang="en-GB" sz="1400" baseline="30000"/>
                  <a:t>-1</a:t>
                </a:r>
                <a:r>
                  <a:rPr lang="en-GB" sz="1400"/>
                  <a:t>)</a:t>
                </a:r>
              </a:p>
            </c:rich>
          </c:tx>
          <c:layout>
            <c:manualLayout>
              <c:xMode val="edge"/>
              <c:yMode val="edge"/>
              <c:x val="1.1584444878169961E-2"/>
              <c:y val="0.31878236123562426"/>
            </c:manualLayout>
          </c:layout>
        </c:title>
        <c:numFmt formatCode="0" sourceLinked="1"/>
        <c:tickLblPos val="nextTo"/>
        <c:txPr>
          <a:bodyPr/>
          <a:lstStyle/>
          <a:p>
            <a:pPr>
              <a:defRPr sz="1400" baseline="0"/>
            </a:pPr>
            <a:endParaRPr lang="en-US"/>
          </a:p>
        </c:txPr>
        <c:crossAx val="93926144"/>
        <c:crosses val="autoZero"/>
        <c:crossBetween val="between"/>
      </c:valAx>
      <c:valAx>
        <c:axId val="93938432"/>
        <c:scaling>
          <c:orientation val="minMax"/>
          <c:max val="1"/>
          <c:min val="0"/>
        </c:scaling>
        <c:axPos val="r"/>
        <c:numFmt formatCode="0" sourceLinked="1"/>
        <c:majorTickMark val="none"/>
        <c:tickLblPos val="none"/>
        <c:crossAx val="93939968"/>
        <c:crosses val="max"/>
        <c:crossBetween val="between"/>
      </c:valAx>
      <c:catAx>
        <c:axId val="93939968"/>
        <c:scaling>
          <c:orientation val="minMax"/>
        </c:scaling>
        <c:delete val="1"/>
        <c:axPos val="b"/>
        <c:numFmt formatCode="0" sourceLinked="1"/>
        <c:tickLblPos val="none"/>
        <c:crossAx val="93938432"/>
        <c:crosses val="autoZero"/>
        <c:auto val="1"/>
        <c:lblAlgn val="ctr"/>
        <c:lblOffset val="100"/>
      </c:catAx>
    </c:plotArea>
    <c:legend>
      <c:legendPos val="r"/>
      <c:layout>
        <c:manualLayout>
          <c:xMode val="edge"/>
          <c:yMode val="edge"/>
          <c:x val="0.61879757914053435"/>
          <c:y val="0.15337965042462171"/>
          <c:w val="0.31943823618561851"/>
          <c:h val="0.42521185523703492"/>
        </c:manualLayout>
      </c:layout>
      <c:overlay val="1"/>
      <c:spPr>
        <a:solidFill>
          <a:schemeClr val="bg1"/>
        </a:solidFill>
        <a:ln>
          <a:solidFill>
            <a:schemeClr val="bg1">
              <a:lumMod val="75000"/>
            </a:schemeClr>
          </a:solidFill>
        </a:ln>
      </c:spPr>
      <c:txPr>
        <a:bodyPr/>
        <a:lstStyle/>
        <a:p>
          <a:pPr>
            <a:defRPr sz="1600" baseline="0"/>
          </a:pPr>
          <a:endParaRPr lang="en-US"/>
        </a:p>
      </c:txPr>
    </c:legend>
    <c:plotVisOnly val="1"/>
    <c:dispBlanksAs val="gap"/>
  </c:chart>
  <c:printSettings>
    <c:headerFooter/>
    <c:pageMargins b="0.75000000000000411" l="0.70000000000000062" r="0.70000000000000062" t="0.750000000000004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1885950</xdr:colOff>
      <xdr:row>0</xdr:row>
      <xdr:rowOff>912214</xdr:rowOff>
    </xdr:to>
    <xdr:pic>
      <xdr:nvPicPr>
        <xdr:cNvPr id="2" name="Picture 1" descr="ACUMEN Logo.jpg"/>
        <xdr:cNvPicPr>
          <a:picLocks noChangeAspect="1"/>
        </xdr:cNvPicPr>
      </xdr:nvPicPr>
      <xdr:blipFill>
        <a:blip xmlns:r="http://schemas.openxmlformats.org/officeDocument/2006/relationships" r:embed="rId1" cstate="print"/>
        <a:stretch>
          <a:fillRect/>
        </a:stretch>
      </xdr:blipFill>
      <xdr:spPr>
        <a:xfrm>
          <a:off x="0" y="0"/>
          <a:ext cx="1885950" cy="912214"/>
        </a:xfrm>
        <a:prstGeom prst="rect">
          <a:avLst/>
        </a:prstGeom>
      </xdr:spPr>
    </xdr:pic>
    <xdr:clientData/>
  </xdr:twoCellAnchor>
  <xdr:twoCellAnchor editAs="oneCell">
    <xdr:from>
      <xdr:col>0</xdr:col>
      <xdr:colOff>10944225</xdr:colOff>
      <xdr:row>0</xdr:row>
      <xdr:rowOff>0</xdr:rowOff>
    </xdr:from>
    <xdr:to>
      <xdr:col>0</xdr:col>
      <xdr:colOff>12309729</xdr:colOff>
      <xdr:row>0</xdr:row>
      <xdr:rowOff>987552</xdr:rowOff>
    </xdr:to>
    <xdr:pic>
      <xdr:nvPicPr>
        <xdr:cNvPr id="4" name="Picture 3" descr="life.jpg"/>
        <xdr:cNvPicPr>
          <a:picLocks noChangeAspect="1"/>
        </xdr:cNvPicPr>
      </xdr:nvPicPr>
      <xdr:blipFill>
        <a:blip xmlns:r="http://schemas.openxmlformats.org/officeDocument/2006/relationships" r:embed="rId2" cstate="print"/>
        <a:stretch>
          <a:fillRect/>
        </a:stretch>
      </xdr:blipFill>
      <xdr:spPr>
        <a:xfrm>
          <a:off x="10944225" y="0"/>
          <a:ext cx="1365504" cy="987552"/>
        </a:xfrm>
        <a:prstGeom prst="rect">
          <a:avLst/>
        </a:prstGeom>
      </xdr:spPr>
    </xdr:pic>
    <xdr:clientData/>
  </xdr:twoCellAnchor>
  <xdr:twoCellAnchor editAs="oneCell">
    <xdr:from>
      <xdr:col>0</xdr:col>
      <xdr:colOff>13607</xdr:colOff>
      <xdr:row>3</xdr:row>
      <xdr:rowOff>136071</xdr:rowOff>
    </xdr:from>
    <xdr:to>
      <xdr:col>0</xdr:col>
      <xdr:colOff>12939121</xdr:colOff>
      <xdr:row>11</xdr:row>
      <xdr:rowOff>40821</xdr:rowOff>
    </xdr:to>
    <xdr:pic>
      <xdr:nvPicPr>
        <xdr:cNvPr id="5" name="Picture 4" descr="150624_ACUMEN_combined_logos_1row.JPG"/>
        <xdr:cNvPicPr>
          <a:picLocks noChangeAspect="1"/>
        </xdr:cNvPicPr>
      </xdr:nvPicPr>
      <xdr:blipFill>
        <a:blip xmlns:r="http://schemas.openxmlformats.org/officeDocument/2006/relationships" r:embed="rId3" cstate="print"/>
        <a:stretch>
          <a:fillRect/>
        </a:stretch>
      </xdr:blipFill>
      <xdr:spPr>
        <a:xfrm>
          <a:off x="13607" y="5606142"/>
          <a:ext cx="12925514" cy="1428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11</xdr:row>
      <xdr:rowOff>95251</xdr:rowOff>
    </xdr:from>
    <xdr:to>
      <xdr:col>1</xdr:col>
      <xdr:colOff>484909</xdr:colOff>
      <xdr:row>34</xdr:row>
      <xdr:rowOff>127001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678295</xdr:colOff>
      <xdr:row>11</xdr:row>
      <xdr:rowOff>76490</xdr:rowOff>
    </xdr:from>
    <xdr:to>
      <xdr:col>7</xdr:col>
      <xdr:colOff>1492250</xdr:colOff>
      <xdr:row>34</xdr:row>
      <xdr:rowOff>124114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95251</xdr:colOff>
      <xdr:row>10</xdr:row>
      <xdr:rowOff>95251</xdr:rowOff>
    </xdr:from>
    <xdr:to>
      <xdr:col>1</xdr:col>
      <xdr:colOff>484909</xdr:colOff>
      <xdr:row>33</xdr:row>
      <xdr:rowOff>127001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678295</xdr:colOff>
      <xdr:row>10</xdr:row>
      <xdr:rowOff>76490</xdr:rowOff>
    </xdr:from>
    <xdr:to>
      <xdr:col>7</xdr:col>
      <xdr:colOff>1492250</xdr:colOff>
      <xdr:row>33</xdr:row>
      <xdr:rowOff>124114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10</xdr:row>
      <xdr:rowOff>95251</xdr:rowOff>
    </xdr:from>
    <xdr:to>
      <xdr:col>1</xdr:col>
      <xdr:colOff>484909</xdr:colOff>
      <xdr:row>33</xdr:row>
      <xdr:rowOff>127001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678295</xdr:colOff>
      <xdr:row>10</xdr:row>
      <xdr:rowOff>76490</xdr:rowOff>
    </xdr:from>
    <xdr:to>
      <xdr:col>7</xdr:col>
      <xdr:colOff>1492250</xdr:colOff>
      <xdr:row>33</xdr:row>
      <xdr:rowOff>124114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95251</xdr:colOff>
      <xdr:row>10</xdr:row>
      <xdr:rowOff>95251</xdr:rowOff>
    </xdr:from>
    <xdr:to>
      <xdr:col>1</xdr:col>
      <xdr:colOff>484909</xdr:colOff>
      <xdr:row>33</xdr:row>
      <xdr:rowOff>127001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678295</xdr:colOff>
      <xdr:row>10</xdr:row>
      <xdr:rowOff>76490</xdr:rowOff>
    </xdr:from>
    <xdr:to>
      <xdr:col>7</xdr:col>
      <xdr:colOff>1492250</xdr:colOff>
      <xdr:row>33</xdr:row>
      <xdr:rowOff>124114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95251</xdr:colOff>
      <xdr:row>10</xdr:row>
      <xdr:rowOff>95251</xdr:rowOff>
    </xdr:from>
    <xdr:to>
      <xdr:col>1</xdr:col>
      <xdr:colOff>484909</xdr:colOff>
      <xdr:row>33</xdr:row>
      <xdr:rowOff>127001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678295</xdr:colOff>
      <xdr:row>10</xdr:row>
      <xdr:rowOff>76490</xdr:rowOff>
    </xdr:from>
    <xdr:to>
      <xdr:col>7</xdr:col>
      <xdr:colOff>1492250</xdr:colOff>
      <xdr:row>33</xdr:row>
      <xdr:rowOff>124114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95251</xdr:colOff>
      <xdr:row>10</xdr:row>
      <xdr:rowOff>95251</xdr:rowOff>
    </xdr:from>
    <xdr:to>
      <xdr:col>1</xdr:col>
      <xdr:colOff>484909</xdr:colOff>
      <xdr:row>33</xdr:row>
      <xdr:rowOff>127001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678295</xdr:colOff>
      <xdr:row>10</xdr:row>
      <xdr:rowOff>76490</xdr:rowOff>
    </xdr:from>
    <xdr:to>
      <xdr:col>7</xdr:col>
      <xdr:colOff>1492250</xdr:colOff>
      <xdr:row>33</xdr:row>
      <xdr:rowOff>124114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H14"/>
  <sheetViews>
    <sheetView showGridLines="0" tabSelected="1" zoomScale="60" zoomScaleNormal="60" workbookViewId="0">
      <selection activeCell="B7" sqref="B7"/>
    </sheetView>
  </sheetViews>
  <sheetFormatPr defaultRowHeight="15"/>
  <cols>
    <col min="1" max="1" width="155.5546875" customWidth="1"/>
  </cols>
  <sheetData>
    <row r="1" spans="1:8" ht="81.75" customHeight="1">
      <c r="A1" s="17"/>
    </row>
    <row r="2" spans="1:8" ht="45" customHeight="1">
      <c r="A2" s="30" t="s">
        <v>84</v>
      </c>
    </row>
    <row r="3" spans="1:8" ht="389.25" customHeight="1">
      <c r="A3" s="78" t="s">
        <v>114</v>
      </c>
      <c r="B3" s="15"/>
      <c r="C3" s="15"/>
      <c r="D3" s="15"/>
      <c r="E3" s="15"/>
      <c r="F3" s="15"/>
      <c r="G3" s="15"/>
      <c r="H3" s="15"/>
    </row>
    <row r="4" spans="1:8">
      <c r="A4" s="54"/>
      <c r="B4" s="16"/>
      <c r="C4" s="16"/>
      <c r="D4" s="16"/>
      <c r="E4" s="16"/>
      <c r="F4" s="16"/>
      <c r="G4" s="16"/>
      <c r="H4" s="16"/>
    </row>
    <row r="14" spans="1:8">
      <c r="A14" s="16" t="s">
        <v>107</v>
      </c>
      <c r="B14" s="16"/>
      <c r="C14" s="16"/>
      <c r="D14" s="16"/>
      <c r="E14" s="16"/>
      <c r="F14" s="16"/>
      <c r="G14" s="16"/>
      <c r="H14" s="16"/>
    </row>
  </sheetData>
  <sheetProtection password="E014" sheet="1" objects="1" scenarios="1"/>
  <pageMargins left="0.7" right="0.7" top="0.75" bottom="0.75" header="0.3" footer="0.3"/>
  <pageSetup paperSize="9" orientation="portrait" verticalDpi="0"/>
  <drawing r:id="rId1"/>
</worksheet>
</file>

<file path=xl/worksheets/sheet2.xml><?xml version="1.0" encoding="utf-8"?>
<worksheet xmlns="http://schemas.openxmlformats.org/spreadsheetml/2006/main" xmlns:r="http://schemas.openxmlformats.org/officeDocument/2006/relationships">
  <dimension ref="A1:BP168"/>
  <sheetViews>
    <sheetView showGridLines="0" zoomScale="70" zoomScaleNormal="70" workbookViewId="0">
      <selection activeCell="D9" sqref="D9"/>
    </sheetView>
  </sheetViews>
  <sheetFormatPr defaultRowHeight="15" outlineLevelCol="1"/>
  <cols>
    <col min="1" max="1" width="105.77734375" customWidth="1"/>
    <col min="2" max="2" width="47.77734375" customWidth="1"/>
    <col min="3" max="3" width="6.44140625" customWidth="1"/>
    <col min="4" max="4" width="11" bestFit="1" customWidth="1"/>
    <col min="5" max="5" width="17.33203125" customWidth="1"/>
    <col min="6" max="6" width="11.5546875" customWidth="1"/>
    <col min="7" max="7" width="7.5546875" customWidth="1"/>
    <col min="8" max="8" width="53.77734375" customWidth="1"/>
    <col min="9" max="16" width="15.77734375" customWidth="1"/>
    <col min="17" max="19" width="6.88671875" customWidth="1"/>
    <col min="20" max="21" width="8.88671875" customWidth="1" outlineLevel="1"/>
    <col min="22" max="22" width="12.44140625" bestFit="1" customWidth="1" outlineLevel="1"/>
    <col min="23" max="23" width="35.77734375" bestFit="1" customWidth="1" outlineLevel="1"/>
    <col min="24" max="24" width="5.5546875" customWidth="1" outlineLevel="1"/>
    <col min="25" max="25" width="5.33203125" bestFit="1" customWidth="1" outlineLevel="1"/>
    <col min="26" max="26" width="11.6640625" bestFit="1" customWidth="1" outlineLevel="1"/>
    <col min="27" max="27" width="10.33203125" bestFit="1" customWidth="1" outlineLevel="1"/>
    <col min="28" max="28" width="1.77734375" customWidth="1" outlineLevel="1"/>
    <col min="29" max="29" width="37.44140625" bestFit="1" customWidth="1" outlineLevel="1"/>
    <col min="30" max="30" width="11.33203125" bestFit="1" customWidth="1" outlineLevel="1"/>
    <col min="31" max="35" width="1.77734375" customWidth="1" outlineLevel="1"/>
    <col min="36" max="41" width="8.88671875" customWidth="1" outlineLevel="1"/>
    <col min="42" max="42" width="4" customWidth="1" outlineLevel="1"/>
  </cols>
  <sheetData>
    <row r="1" spans="1:43">
      <c r="T1" s="79"/>
      <c r="U1" s="79"/>
      <c r="V1" s="79"/>
      <c r="W1" s="79"/>
      <c r="X1" s="79"/>
      <c r="Y1" s="79"/>
      <c r="Z1" s="79"/>
      <c r="AA1" s="79"/>
      <c r="AB1" s="79"/>
      <c r="AC1" s="79"/>
      <c r="AD1" s="79"/>
      <c r="AE1" s="79"/>
      <c r="AF1" s="79"/>
      <c r="AG1" s="79"/>
      <c r="AH1" s="79"/>
      <c r="AI1" s="79"/>
      <c r="AJ1" s="79"/>
      <c r="AK1" s="79"/>
      <c r="AL1" s="79"/>
      <c r="AM1" s="79"/>
      <c r="AN1" s="79"/>
      <c r="AO1" s="79"/>
      <c r="AP1" s="79"/>
    </row>
    <row r="2" spans="1:43" ht="24.95" customHeight="1" thickBot="1">
      <c r="A2" s="34" t="s">
        <v>83</v>
      </c>
      <c r="T2" s="79" t="str">
        <f ca="1">IF(T11&lt;&gt;"","Table Value","")</f>
        <v/>
      </c>
      <c r="U2" s="79"/>
      <c r="V2" s="79"/>
      <c r="W2" s="79"/>
      <c r="X2" s="79"/>
      <c r="Y2" s="79"/>
      <c r="Z2" s="79"/>
      <c r="AA2" s="79"/>
      <c r="AB2" s="79"/>
      <c r="AC2" s="79"/>
      <c r="AD2" s="79"/>
      <c r="AE2" s="79"/>
      <c r="AF2" s="79"/>
      <c r="AG2" s="79"/>
      <c r="AH2" s="79"/>
      <c r="AI2" s="79"/>
      <c r="AJ2" s="79">
        <v>1</v>
      </c>
      <c r="AK2" s="79">
        <v>5</v>
      </c>
      <c r="AL2" s="79">
        <f ca="1">SUMIF('Consolidated tables'!B:B,'Data inputs'!$T$11,INDIRECT("'Consolidated tables'!"&amp;VLOOKUP(AJ2,AO:AP,2,FALSE)&amp;":"&amp;VLOOKUP(AJ2,AO:AP,2,FALSE)))</f>
        <v>240.8403644561767</v>
      </c>
      <c r="AM2" s="80">
        <f ca="1">SUMIF('Consolidated tables'!B:B,'Data inputs'!$T$15,INDIRECT("'Consolidated tables'!"&amp;VLOOKUP(AJ2,AO:AP,2,FALSE)&amp;":"&amp;VLOOKUP(AJ2,AO:AP,2,FALSE)))</f>
        <v>0</v>
      </c>
      <c r="AN2" s="80">
        <f ca="1">SUMIF('Consolidated tables'!B:B,'Data inputs'!$T$16,INDIRECT("'Consolidated tables'!"&amp;VLOOKUP(AJ2,AO:AP,2,FALSE)&amp;":"&amp;VLOOKUP(AJ2,AO:AP,2,FALSE)))</f>
        <v>0</v>
      </c>
      <c r="AO2" s="79"/>
      <c r="AP2" s="79" t="s">
        <v>58</v>
      </c>
      <c r="AQ2" s="1"/>
    </row>
    <row r="3" spans="1:43" ht="24" customHeight="1" thickBot="1">
      <c r="B3" s="71" t="s">
        <v>2</v>
      </c>
      <c r="D3" s="18">
        <f ca="1">YEAR(TODAY())</f>
        <v>2015</v>
      </c>
      <c r="E3" s="36" t="s">
        <v>8</v>
      </c>
      <c r="F3" s="18"/>
      <c r="G3" s="36" t="str">
        <f>"= Result Cell"</f>
        <v>= Result Cell</v>
      </c>
      <c r="T3" s="79"/>
      <c r="U3" s="79"/>
      <c r="V3" s="79"/>
      <c r="W3" s="79"/>
      <c r="X3" s="79"/>
      <c r="Y3" s="79"/>
      <c r="Z3" s="79"/>
      <c r="AA3" s="79"/>
      <c r="AB3" s="79"/>
      <c r="AC3" s="79"/>
      <c r="AD3" s="79"/>
      <c r="AE3" s="79"/>
      <c r="AF3" s="79"/>
      <c r="AG3" s="79"/>
      <c r="AH3" s="79"/>
      <c r="AI3" s="79"/>
      <c r="AJ3" s="79">
        <v>2</v>
      </c>
      <c r="AK3" s="79">
        <v>5</v>
      </c>
      <c r="AL3" s="79">
        <f ca="1">SUMIF('Consolidated tables'!B:B,'Data inputs'!$T$11,INDIRECT("'Consolidated tables'!"&amp;VLOOKUP(AJ3,AO:AP,2,FALSE)&amp;":"&amp;VLOOKUP(AJ3,AO:AP,2,FALSE)))</f>
        <v>218.86545753478998</v>
      </c>
      <c r="AM3" s="80">
        <f ca="1">SUMIF('Consolidated tables'!B:B,'Data inputs'!$T$15,INDIRECT("'Consolidated tables'!"&amp;VLOOKUP(AJ3,AO:AP,2,FALSE)&amp;":"&amp;VLOOKUP(AJ3,AO:AP,2,FALSE)))</f>
        <v>0</v>
      </c>
      <c r="AN3" s="80">
        <f ca="1">SUMIF('Consolidated tables'!B:B,'Data inputs'!$T$16,INDIRECT("'Consolidated tables'!"&amp;VLOOKUP(AJ3,AO:AP,2,FALSE)&amp;":"&amp;VLOOKUP(AJ3,AO:AP,2,FALSE)))</f>
        <v>0</v>
      </c>
      <c r="AO3" s="79"/>
      <c r="AP3" s="79" t="s">
        <v>59</v>
      </c>
      <c r="AQ3" s="1"/>
    </row>
    <row r="4" spans="1:43" ht="24" customHeight="1" thickBot="1">
      <c r="B4" s="35"/>
      <c r="D4" s="11"/>
      <c r="E4" s="36"/>
      <c r="G4" s="36"/>
      <c r="T4" s="79"/>
      <c r="U4" s="79"/>
      <c r="V4" s="79"/>
      <c r="W4" s="79"/>
      <c r="X4" s="79"/>
      <c r="Y4" s="79"/>
      <c r="Z4" s="79"/>
      <c r="AA4" s="79"/>
      <c r="AB4" s="79"/>
      <c r="AC4" s="79"/>
      <c r="AD4" s="79"/>
      <c r="AE4" s="79"/>
      <c r="AF4" s="79"/>
      <c r="AG4" s="79"/>
      <c r="AH4" s="79"/>
      <c r="AI4" s="79"/>
      <c r="AJ4" s="79">
        <v>3</v>
      </c>
      <c r="AK4" s="79">
        <v>5</v>
      </c>
      <c r="AL4" s="79">
        <f ca="1">SUMIF('Consolidated tables'!B:B,'Data inputs'!$T$11,INDIRECT("'Consolidated tables'!"&amp;VLOOKUP(AJ4,AO:AP,2,FALSE)&amp;":"&amp;VLOOKUP(AJ4,AO:AP,2,FALSE)))</f>
        <v>192.66260719299319</v>
      </c>
      <c r="AM4" s="80">
        <f ca="1">SUMIF('Consolidated tables'!B:B,'Data inputs'!$T$15,INDIRECT("'Consolidated tables'!"&amp;VLOOKUP(AJ4,AO:AP,2,FALSE)&amp;":"&amp;VLOOKUP(AJ4,AO:AP,2,FALSE)))</f>
        <v>0</v>
      </c>
      <c r="AN4" s="80">
        <f ca="1">SUMIF('Consolidated tables'!B:B,'Data inputs'!$T$16,INDIRECT("'Consolidated tables'!"&amp;VLOOKUP(AJ4,AO:AP,2,FALSE)&amp;":"&amp;VLOOKUP(AJ4,AO:AP,2,FALSE)))</f>
        <v>0</v>
      </c>
      <c r="AO4" s="79"/>
      <c r="AP4" s="79" t="s">
        <v>60</v>
      </c>
      <c r="AQ4" s="1"/>
    </row>
    <row r="5" spans="1:43" ht="24" customHeight="1" thickBot="1">
      <c r="A5" s="35" t="s">
        <v>94</v>
      </c>
      <c r="B5" s="71" t="s">
        <v>4</v>
      </c>
      <c r="D5" s="33"/>
      <c r="E5" s="36" t="s">
        <v>8</v>
      </c>
      <c r="F5" s="39"/>
      <c r="G5" s="36" t="str">
        <f>"= Text Entry Cell"</f>
        <v>= Text Entry Cell</v>
      </c>
      <c r="T5" s="79" t="s">
        <v>9</v>
      </c>
      <c r="U5" s="79" t="s">
        <v>9</v>
      </c>
      <c r="V5" s="79"/>
      <c r="W5" s="79"/>
      <c r="X5" s="79"/>
      <c r="Y5" s="79"/>
      <c r="Z5" s="79"/>
      <c r="AA5" s="79"/>
      <c r="AB5" s="79"/>
      <c r="AC5" s="79"/>
      <c r="AD5" s="79"/>
      <c r="AE5" s="79"/>
      <c r="AF5" s="79"/>
      <c r="AG5" s="79"/>
      <c r="AH5" s="79"/>
      <c r="AI5" s="79"/>
      <c r="AJ5" s="79">
        <v>4</v>
      </c>
      <c r="AK5" s="79">
        <v>5</v>
      </c>
      <c r="AL5" s="79">
        <f ca="1">SUMIF('Consolidated tables'!B:B,'Data inputs'!$T$11,INDIRECT("'Consolidated tables'!"&amp;VLOOKUP(AJ5,AO:AP,2,FALSE)&amp;":"&amp;VLOOKUP(AJ5,AO:AP,2,FALSE)))</f>
        <v>172.9818840026854</v>
      </c>
      <c r="AM5" s="80">
        <f ca="1">SUMIF('Consolidated tables'!B:B,'Data inputs'!$T$15,INDIRECT("'Consolidated tables'!"&amp;VLOOKUP(AJ5,AO:AP,2,FALSE)&amp;":"&amp;VLOOKUP(AJ5,AO:AP,2,FALSE)))</f>
        <v>0</v>
      </c>
      <c r="AN5" s="80">
        <f ca="1">SUMIF('Consolidated tables'!B:B,'Data inputs'!$T$16,INDIRECT("'Consolidated tables'!"&amp;VLOOKUP(AJ5,AO:AP,2,FALSE)&amp;":"&amp;VLOOKUP(AJ5,AO:AP,2,FALSE)))</f>
        <v>0</v>
      </c>
      <c r="AO5" s="79"/>
      <c r="AP5" s="79" t="s">
        <v>61</v>
      </c>
      <c r="AQ5" s="1"/>
    </row>
    <row r="6" spans="1:43" ht="24" customHeight="1" thickBot="1">
      <c r="A6" s="36"/>
      <c r="B6" s="36"/>
      <c r="D6" s="11"/>
      <c r="E6" s="36"/>
      <c r="T6" s="79"/>
      <c r="U6" s="79"/>
      <c r="V6" s="79"/>
      <c r="W6" s="79"/>
      <c r="X6" s="79"/>
      <c r="Y6" s="79"/>
      <c r="Z6" s="79"/>
      <c r="AA6" s="79"/>
      <c r="AB6" s="79"/>
      <c r="AC6" s="79"/>
      <c r="AD6" s="79"/>
      <c r="AE6" s="79"/>
      <c r="AF6" s="79"/>
      <c r="AG6" s="79"/>
      <c r="AH6" s="79"/>
      <c r="AI6" s="79"/>
      <c r="AJ6" s="79">
        <v>5</v>
      </c>
      <c r="AK6" s="79">
        <v>5</v>
      </c>
      <c r="AL6" s="79">
        <f ca="1">SUMIF('Consolidated tables'!B:B,'Data inputs'!$T$11,INDIRECT("'Consolidated tables'!"&amp;VLOOKUP(AJ6,AO:AP,2,FALSE)&amp;":"&amp;VLOOKUP(AJ6,AO:AP,2,FALSE)))</f>
        <v>157.4715766906738</v>
      </c>
      <c r="AM6" s="80">
        <f ca="1">SUMIF('Consolidated tables'!B:B,'Data inputs'!$T$15,INDIRECT("'Consolidated tables'!"&amp;VLOOKUP(AJ6,AO:AP,2,FALSE)&amp;":"&amp;VLOOKUP(AJ6,AO:AP,2,FALSE)))</f>
        <v>0</v>
      </c>
      <c r="AN6" s="80">
        <f ca="1">SUMIF('Consolidated tables'!B:B,'Data inputs'!$T$16,INDIRECT("'Consolidated tables'!"&amp;VLOOKUP(AJ6,AO:AP,2,FALSE)&amp;":"&amp;VLOOKUP(AJ6,AO:AP,2,FALSE)))</f>
        <v>0</v>
      </c>
      <c r="AO6" s="79"/>
      <c r="AP6" s="79" t="s">
        <v>68</v>
      </c>
      <c r="AQ6" s="1"/>
    </row>
    <row r="7" spans="1:43" ht="24" customHeight="1" thickBot="1">
      <c r="A7" s="37" t="s">
        <v>95</v>
      </c>
      <c r="B7" s="71" t="s">
        <v>3</v>
      </c>
      <c r="D7" s="33"/>
      <c r="E7" s="36" t="s">
        <v>8</v>
      </c>
      <c r="T7" s="79" t="s">
        <v>10</v>
      </c>
      <c r="U7" s="79" t="s">
        <v>11</v>
      </c>
      <c r="V7" s="79"/>
      <c r="W7" s="79"/>
      <c r="X7" s="79"/>
      <c r="Y7" s="79"/>
      <c r="Z7" s="79"/>
      <c r="AA7" s="79"/>
      <c r="AB7" s="79"/>
      <c r="AC7" s="79"/>
      <c r="AD7" s="79"/>
      <c r="AE7" s="79"/>
      <c r="AF7" s="79"/>
      <c r="AG7" s="79"/>
      <c r="AH7" s="79"/>
      <c r="AI7" s="79"/>
      <c r="AJ7" s="79">
        <v>6</v>
      </c>
      <c r="AK7" s="79">
        <f>AK2+5</f>
        <v>10</v>
      </c>
      <c r="AL7" s="79">
        <f ca="1">SUMIF('Consolidated tables'!B:B,'Data inputs'!$T$11,INDIRECT("'Consolidated tables'!"&amp;VLOOKUP(AJ7,AO:AP,2,FALSE)&amp;":"&amp;VLOOKUP(AJ7,AO:AP,2,FALSE)))</f>
        <v>144.5786151885986</v>
      </c>
      <c r="AM7" s="80">
        <f ca="1">SUMIF('Consolidated tables'!B:B,'Data inputs'!$T$15,INDIRECT("'Consolidated tables'!"&amp;VLOOKUP(AJ7,AO:AP,2,FALSE)&amp;":"&amp;VLOOKUP(AJ7,AO:AP,2,FALSE)))</f>
        <v>0</v>
      </c>
      <c r="AN7" s="80">
        <f ca="1">SUMIF('Consolidated tables'!B:B,'Data inputs'!$T$16,INDIRECT("'Consolidated tables'!"&amp;VLOOKUP(AJ7,AO:AP,2,FALSE)&amp;":"&amp;VLOOKUP(AJ7,AO:AP,2,FALSE)))</f>
        <v>0</v>
      </c>
      <c r="AO7" s="79"/>
      <c r="AP7" s="79" t="s">
        <v>62</v>
      </c>
      <c r="AQ7" s="1"/>
    </row>
    <row r="8" spans="1:43" ht="24" customHeight="1" thickBot="1">
      <c r="A8" s="36"/>
      <c r="B8" s="36"/>
      <c r="D8" s="11"/>
      <c r="E8" s="36"/>
      <c r="T8" s="79"/>
      <c r="U8" s="79"/>
      <c r="V8" s="79"/>
      <c r="W8" s="79"/>
      <c r="X8" s="79"/>
      <c r="Y8" s="79"/>
      <c r="Z8" s="79"/>
      <c r="AA8" s="79"/>
      <c r="AB8" s="79"/>
      <c r="AC8" s="79"/>
      <c r="AD8" s="79"/>
      <c r="AE8" s="79"/>
      <c r="AF8" s="79"/>
      <c r="AG8" s="79"/>
      <c r="AH8" s="79"/>
      <c r="AI8" s="79"/>
      <c r="AJ8" s="79">
        <v>7</v>
      </c>
      <c r="AK8" s="79">
        <f t="shared" ref="AK8:AK14" si="0">AK3+5</f>
        <v>10</v>
      </c>
      <c r="AL8" s="79">
        <f ca="1">SUMIF('Consolidated tables'!B:B,'Data inputs'!$T$11,INDIRECT("'Consolidated tables'!"&amp;VLOOKUP(AJ8,AO:AP,2,FALSE)&amp;":"&amp;VLOOKUP(AJ8,AO:AP,2,FALSE)))</f>
        <v>133.4790992736817</v>
      </c>
      <c r="AM8" s="80">
        <f ca="1">SUMIF('Consolidated tables'!B:B,'Data inputs'!$T$15,INDIRECT("'Consolidated tables'!"&amp;VLOOKUP(AJ8,AO:AP,2,FALSE)&amp;":"&amp;VLOOKUP(AJ8,AO:AP,2,FALSE)))</f>
        <v>0</v>
      </c>
      <c r="AN8" s="80">
        <f ca="1">SUMIF('Consolidated tables'!B:B,'Data inputs'!$T$16,INDIRECT("'Consolidated tables'!"&amp;VLOOKUP(AJ8,AO:AP,2,FALSE)&amp;":"&amp;VLOOKUP(AJ8,AO:AP,2,FALSE)))</f>
        <v>0</v>
      </c>
      <c r="AO8" s="79">
        <v>1</v>
      </c>
      <c r="AP8" s="79" t="s">
        <v>12</v>
      </c>
      <c r="AQ8" s="1"/>
    </row>
    <row r="9" spans="1:43" ht="24" customHeight="1" thickBot="1">
      <c r="A9" s="37" t="s">
        <v>98</v>
      </c>
      <c r="B9" s="71" t="s">
        <v>110</v>
      </c>
      <c r="D9" s="19"/>
      <c r="E9" s="36" t="s">
        <v>99</v>
      </c>
      <c r="T9" s="79"/>
      <c r="U9" s="79"/>
      <c r="V9" s="79"/>
      <c r="W9" s="79"/>
      <c r="X9" s="79"/>
      <c r="Y9" s="79"/>
      <c r="Z9" s="79"/>
      <c r="AA9" s="79"/>
      <c r="AB9" s="79"/>
      <c r="AC9" s="79"/>
      <c r="AD9" s="79"/>
      <c r="AE9" s="79"/>
      <c r="AF9" s="79"/>
      <c r="AG9" s="79"/>
      <c r="AH9" s="79"/>
      <c r="AI9" s="79"/>
      <c r="AJ9" s="79">
        <v>8</v>
      </c>
      <c r="AK9" s="79">
        <f t="shared" si="0"/>
        <v>10</v>
      </c>
      <c r="AL9" s="79">
        <f ca="1">SUMIF('Consolidated tables'!B:B,'Data inputs'!$T$11,INDIRECT("'Consolidated tables'!"&amp;VLOOKUP(AJ9,AO:AP,2,FALSE)&amp;":"&amp;VLOOKUP(AJ9,AO:AP,2,FALSE)))</f>
        <v>123.71790122985841</v>
      </c>
      <c r="AM9" s="80">
        <f ca="1">SUMIF('Consolidated tables'!B:B,'Data inputs'!$T$15,INDIRECT("'Consolidated tables'!"&amp;VLOOKUP(AJ9,AO:AP,2,FALSE)&amp;":"&amp;VLOOKUP(AJ9,AO:AP,2,FALSE)))</f>
        <v>0</v>
      </c>
      <c r="AN9" s="80">
        <f ca="1">SUMIF('Consolidated tables'!B:B,'Data inputs'!$T$16,INDIRECT("'Consolidated tables'!"&amp;VLOOKUP(AJ9,AO:AP,2,FALSE)&amp;":"&amp;VLOOKUP(AJ9,AO:AP,2,FALSE)))</f>
        <v>0</v>
      </c>
      <c r="AO9" s="79">
        <v>2</v>
      </c>
      <c r="AP9" s="79" t="s">
        <v>13</v>
      </c>
      <c r="AQ9" s="1"/>
    </row>
    <row r="10" spans="1:43" ht="24.95" customHeight="1">
      <c r="T10" s="79"/>
      <c r="U10" s="79"/>
      <c r="V10" s="79"/>
      <c r="W10" s="79"/>
      <c r="X10" s="79"/>
      <c r="Y10" s="79"/>
      <c r="Z10" s="79"/>
      <c r="AA10" s="79"/>
      <c r="AB10" s="79"/>
      <c r="AC10" s="79"/>
      <c r="AD10" s="79"/>
      <c r="AE10" s="79"/>
      <c r="AF10" s="79"/>
      <c r="AG10" s="79"/>
      <c r="AH10" s="79"/>
      <c r="AI10" s="79"/>
      <c r="AJ10" s="79">
        <v>9</v>
      </c>
      <c r="AK10" s="79">
        <f t="shared" si="0"/>
        <v>10</v>
      </c>
      <c r="AL10" s="79">
        <f ca="1">SUMIF('Consolidated tables'!B:B,'Data inputs'!$T$11,INDIRECT("'Consolidated tables'!"&amp;VLOOKUP(AJ10,AO:AP,2,FALSE)&amp;":"&amp;VLOOKUP(AJ10,AO:AP,2,FALSE)))</f>
        <v>115.0281801223756</v>
      </c>
      <c r="AM10" s="80">
        <f ca="1">SUMIF('Consolidated tables'!B:B,'Data inputs'!$T$15,INDIRECT("'Consolidated tables'!"&amp;VLOOKUP(AJ10,AO:AP,2,FALSE)&amp;":"&amp;VLOOKUP(AJ10,AO:AP,2,FALSE)))</f>
        <v>0</v>
      </c>
      <c r="AN10" s="80">
        <f ca="1">SUMIF('Consolidated tables'!B:B,'Data inputs'!$T$16,INDIRECT("'Consolidated tables'!"&amp;VLOOKUP(AJ10,AO:AP,2,FALSE)&amp;":"&amp;VLOOKUP(AJ10,AO:AP,2,FALSE)))</f>
        <v>0</v>
      </c>
      <c r="AO10" s="79">
        <v>3</v>
      </c>
      <c r="AP10" s="79" t="s">
        <v>14</v>
      </c>
      <c r="AQ10" s="1"/>
    </row>
    <row r="11" spans="1:43" ht="26.25">
      <c r="A11" s="31" t="s">
        <v>72</v>
      </c>
      <c r="Q11" s="2"/>
      <c r="R11" s="2"/>
      <c r="S11" s="2"/>
      <c r="T11" s="81" t="str">
        <f ca="1">IF(COUNTA(D3:D9)=4,VLOOKUP(D40,AJ:AK,2,FALSE),"")</f>
        <v/>
      </c>
      <c r="U11" s="79" t="e">
        <f ca="1">VLOOKUP(T11,'Consolidated tables'!B:G,6,FALSE)</f>
        <v>#N/A</v>
      </c>
      <c r="V11" s="79" t="e">
        <f ca="1">VLOOKUP(T11,'Consolidated tables'!B:G,6,FALSE)</f>
        <v>#N/A</v>
      </c>
      <c r="W11" s="79"/>
      <c r="X11" s="79"/>
      <c r="Y11" s="79"/>
      <c r="Z11" s="79"/>
      <c r="AA11" s="79"/>
      <c r="AB11" s="79"/>
      <c r="AC11" s="79"/>
      <c r="AD11" s="79"/>
      <c r="AE11" s="79"/>
      <c r="AF11" s="79"/>
      <c r="AG11" s="79"/>
      <c r="AH11" s="79"/>
      <c r="AI11" s="79"/>
      <c r="AJ11" s="79">
        <v>10</v>
      </c>
      <c r="AK11" s="79">
        <f t="shared" si="0"/>
        <v>10</v>
      </c>
      <c r="AL11" s="79">
        <f ca="1">SUMIF('Consolidated tables'!B:B,'Data inputs'!$T$11,INDIRECT("'Consolidated tables'!"&amp;VLOOKUP(AJ11,AO:AP,2,FALSE)&amp;":"&amp;VLOOKUP(AJ11,AO:AP,2,FALSE)))</f>
        <v>107.24082183837891</v>
      </c>
      <c r="AM11" s="80">
        <f ca="1">SUMIF('Consolidated tables'!B:B,'Data inputs'!$T$15,INDIRECT("'Consolidated tables'!"&amp;VLOOKUP(AJ11,AO:AP,2,FALSE)&amp;":"&amp;VLOOKUP(AJ11,AO:AP,2,FALSE)))</f>
        <v>0</v>
      </c>
      <c r="AN11" s="80">
        <f ca="1">SUMIF('Consolidated tables'!B:B,'Data inputs'!$T$16,INDIRECT("'Consolidated tables'!"&amp;VLOOKUP(AJ11,AO:AP,2,FALSE)&amp;":"&amp;VLOOKUP(AJ11,AO:AP,2,FALSE)))</f>
        <v>0</v>
      </c>
      <c r="AO11" s="79">
        <v>4</v>
      </c>
      <c r="AP11" s="79" t="s">
        <v>15</v>
      </c>
      <c r="AQ11" s="1"/>
    </row>
    <row r="12" spans="1:43" ht="20.100000000000001" customHeight="1">
      <c r="Q12" s="2"/>
      <c r="R12" s="2"/>
      <c r="S12" s="2"/>
      <c r="T12" s="81"/>
      <c r="U12" s="79"/>
      <c r="V12" s="79"/>
      <c r="W12" s="79"/>
      <c r="X12" s="79"/>
      <c r="Y12" s="79"/>
      <c r="Z12" s="79"/>
      <c r="AA12" s="79"/>
      <c r="AB12" s="79"/>
      <c r="AC12" s="79"/>
      <c r="AD12" s="79"/>
      <c r="AE12" s="79"/>
      <c r="AF12" s="79"/>
      <c r="AG12" s="79"/>
      <c r="AH12" s="79"/>
      <c r="AI12" s="79"/>
      <c r="AJ12" s="79">
        <v>11</v>
      </c>
      <c r="AK12" s="79">
        <f t="shared" si="0"/>
        <v>15</v>
      </c>
      <c r="AL12" s="79">
        <f ca="1">SUMIF('Consolidated tables'!B:B,'Data inputs'!$T$11,INDIRECT("'Consolidated tables'!"&amp;VLOOKUP(AJ12,AO:AP,2,FALSE)&amp;":"&amp;VLOOKUP(AJ12,AO:AP,2,FALSE)))</f>
        <v>100.23885440826419</v>
      </c>
      <c r="AM12" s="80">
        <f ca="1">SUMIF('Consolidated tables'!B:B,'Data inputs'!$T$15,INDIRECT("'Consolidated tables'!"&amp;VLOOKUP(AJ12,AO:AP,2,FALSE)&amp;":"&amp;VLOOKUP(AJ12,AO:AP,2,FALSE)))</f>
        <v>0</v>
      </c>
      <c r="AN12" s="80">
        <f ca="1">SUMIF('Consolidated tables'!B:B,'Data inputs'!$T$16,INDIRECT("'Consolidated tables'!"&amp;VLOOKUP(AJ12,AO:AP,2,FALSE)&amp;":"&amp;VLOOKUP(AJ12,AO:AP,2,FALSE)))</f>
        <v>0</v>
      </c>
      <c r="AO12" s="79">
        <v>5</v>
      </c>
      <c r="AP12" s="79" t="s">
        <v>16</v>
      </c>
      <c r="AQ12" s="1"/>
    </row>
    <row r="13" spans="1:43" ht="20.100000000000001" customHeight="1">
      <c r="Q13" s="13"/>
      <c r="R13" s="13"/>
      <c r="S13" s="13"/>
      <c r="T13" s="82" t="e">
        <f ca="1">T11+1</f>
        <v>#VALUE!</v>
      </c>
      <c r="U13" s="79" t="e">
        <f ca="1">VLOOKUP(T13,'Consolidated tables'!B:H,7,FALSE)</f>
        <v>#VALUE!</v>
      </c>
      <c r="V13" s="79"/>
      <c r="W13" s="79"/>
      <c r="X13" s="79"/>
      <c r="Y13" s="79"/>
      <c r="Z13" s="79"/>
      <c r="AA13" s="79"/>
      <c r="AB13" s="79"/>
      <c r="AC13" s="79"/>
      <c r="AD13" s="79"/>
      <c r="AE13" s="79"/>
      <c r="AF13" s="79"/>
      <c r="AG13" s="79"/>
      <c r="AH13" s="79"/>
      <c r="AI13" s="79"/>
      <c r="AJ13" s="79">
        <v>12</v>
      </c>
      <c r="AK13" s="79">
        <f t="shared" si="0"/>
        <v>15</v>
      </c>
      <c r="AL13" s="79">
        <f ca="1">SUMIF('Consolidated tables'!B:B,'Data inputs'!$T$11,INDIRECT("'Consolidated tables'!"&amp;VLOOKUP(AJ13,AO:AP,2,FALSE)&amp;":"&amp;VLOOKUP(AJ13,AO:AP,2,FALSE)))</f>
        <v>93.934331893920927</v>
      </c>
      <c r="AM13" s="80">
        <f ca="1">SUMIF('Consolidated tables'!B:B,'Data inputs'!$T$15,INDIRECT("'Consolidated tables'!"&amp;VLOOKUP(AJ13,AO:AP,2,FALSE)&amp;":"&amp;VLOOKUP(AJ13,AO:AP,2,FALSE)))</f>
        <v>0</v>
      </c>
      <c r="AN13" s="80">
        <f ca="1">SUMIF('Consolidated tables'!B:B,'Data inputs'!$T$16,INDIRECT("'Consolidated tables'!"&amp;VLOOKUP(AJ13,AO:AP,2,FALSE)&amp;":"&amp;VLOOKUP(AJ13,AO:AP,2,FALSE)))</f>
        <v>0</v>
      </c>
      <c r="AO13" s="79">
        <v>6</v>
      </c>
      <c r="AP13" s="79" t="s">
        <v>17</v>
      </c>
      <c r="AQ13" s="1"/>
    </row>
    <row r="14" spans="1:43" ht="20.100000000000001" customHeight="1">
      <c r="Q14" s="2"/>
      <c r="R14" s="2"/>
      <c r="S14" s="2"/>
      <c r="T14" s="82"/>
      <c r="U14" s="79"/>
      <c r="V14" s="79"/>
      <c r="W14" s="79"/>
      <c r="X14" s="79"/>
      <c r="Y14" s="79"/>
      <c r="Z14" s="79"/>
      <c r="AA14" s="79"/>
      <c r="AB14" s="79"/>
      <c r="AC14" s="79"/>
      <c r="AD14" s="79"/>
      <c r="AE14" s="79"/>
      <c r="AF14" s="79"/>
      <c r="AG14" s="79"/>
      <c r="AH14" s="79"/>
      <c r="AI14" s="79"/>
      <c r="AJ14" s="79">
        <v>13</v>
      </c>
      <c r="AK14" s="79">
        <f t="shared" si="0"/>
        <v>15</v>
      </c>
      <c r="AL14" s="79">
        <f ca="1">SUMIF('Consolidated tables'!B:B,'Data inputs'!$T$11,INDIRECT("'Consolidated tables'!"&amp;VLOOKUP(AJ14,AO:AP,2,FALSE)&amp;":"&amp;VLOOKUP(AJ14,AO:AP,2,FALSE)))</f>
        <v>88.256541728973403</v>
      </c>
      <c r="AM14" s="80">
        <f ca="1">SUMIF('Consolidated tables'!B:B,'Data inputs'!$T$15,INDIRECT("'Consolidated tables'!"&amp;VLOOKUP(AJ14,AO:AP,2,FALSE)&amp;":"&amp;VLOOKUP(AJ14,AO:AP,2,FALSE)))</f>
        <v>0</v>
      </c>
      <c r="AN14" s="80">
        <f ca="1">SUMIF('Consolidated tables'!B:B,'Data inputs'!$T$16,INDIRECT("'Consolidated tables'!"&amp;VLOOKUP(AJ14,AO:AP,2,FALSE)&amp;":"&amp;VLOOKUP(AJ14,AO:AP,2,FALSE)))</f>
        <v>0</v>
      </c>
      <c r="AO14" s="79">
        <v>7</v>
      </c>
      <c r="AP14" s="79" t="s">
        <v>18</v>
      </c>
      <c r="AQ14" s="1"/>
    </row>
    <row r="15" spans="1:43" ht="20.100000000000001" customHeight="1">
      <c r="Q15" s="2"/>
      <c r="R15" s="2"/>
      <c r="S15" s="2"/>
      <c r="T15" s="82" t="e">
        <f ca="1">T11+2</f>
        <v>#VALUE!</v>
      </c>
      <c r="U15" s="79"/>
      <c r="V15" s="79"/>
      <c r="W15" s="79"/>
      <c r="X15" s="79"/>
      <c r="Y15" s="79"/>
      <c r="Z15" s="79"/>
      <c r="AA15" s="79"/>
      <c r="AB15" s="79"/>
      <c r="AC15" s="79"/>
      <c r="AD15" s="79"/>
      <c r="AE15" s="79"/>
      <c r="AF15" s="79"/>
      <c r="AG15" s="79"/>
      <c r="AH15" s="79"/>
      <c r="AI15" s="79"/>
      <c r="AJ15" s="79">
        <v>14</v>
      </c>
      <c r="AK15" s="79">
        <f t="shared" ref="AK15:AK42" si="1">AK10+5</f>
        <v>15</v>
      </c>
      <c r="AL15" s="79">
        <f ca="1">SUMIF('Consolidated tables'!B:B,'Data inputs'!$T$11,INDIRECT("'Consolidated tables'!"&amp;VLOOKUP(AJ15,AO:AP,2,FALSE)&amp;":"&amp;VLOOKUP(AJ15,AO:AP,2,FALSE)))</f>
        <v>83.145805358886676</v>
      </c>
      <c r="AM15" s="80">
        <f ca="1">SUMIF('Consolidated tables'!B:B,'Data inputs'!$T$15,INDIRECT("'Consolidated tables'!"&amp;VLOOKUP(AJ15,AO:AP,2,FALSE)&amp;":"&amp;VLOOKUP(AJ15,AO:AP,2,FALSE)))</f>
        <v>0</v>
      </c>
      <c r="AN15" s="80">
        <f ca="1">SUMIF('Consolidated tables'!B:B,'Data inputs'!$T$16,INDIRECT("'Consolidated tables'!"&amp;VLOOKUP(AJ15,AO:AP,2,FALSE)&amp;":"&amp;VLOOKUP(AJ15,AO:AP,2,FALSE)))</f>
        <v>0</v>
      </c>
      <c r="AO15" s="79">
        <v>8</v>
      </c>
      <c r="AP15" s="79" t="s">
        <v>19</v>
      </c>
      <c r="AQ15" s="1"/>
    </row>
    <row r="16" spans="1:43" ht="20.100000000000001" customHeight="1">
      <c r="Q16" s="2"/>
      <c r="R16" s="2"/>
      <c r="S16" s="2"/>
      <c r="T16" s="82">
        <v>18</v>
      </c>
      <c r="U16" s="79"/>
      <c r="V16" s="79"/>
      <c r="W16" s="79"/>
      <c r="X16" s="79"/>
      <c r="Y16" s="79"/>
      <c r="Z16" s="79"/>
      <c r="AA16" s="79"/>
      <c r="AB16" s="79"/>
      <c r="AC16" s="79"/>
      <c r="AD16" s="79"/>
      <c r="AE16" s="79"/>
      <c r="AF16" s="79"/>
      <c r="AG16" s="79"/>
      <c r="AH16" s="79"/>
      <c r="AI16" s="79"/>
      <c r="AJ16" s="79">
        <v>15</v>
      </c>
      <c r="AK16" s="79">
        <f t="shared" si="1"/>
        <v>15</v>
      </c>
      <c r="AL16" s="79">
        <f ca="1">SUMIF('Consolidated tables'!B:B,'Data inputs'!$T$11,INDIRECT("'Consolidated tables'!"&amp;VLOOKUP(AJ16,AO:AP,2,FALSE)&amp;":"&amp;VLOOKUP(AJ16,AO:AP,2,FALSE)))</f>
        <v>78.550190925598159</v>
      </c>
      <c r="AM16" s="80">
        <f ca="1">SUMIF('Consolidated tables'!B:B,'Data inputs'!$T$15,INDIRECT("'Consolidated tables'!"&amp;VLOOKUP(AJ16,AO:AP,2,FALSE)&amp;":"&amp;VLOOKUP(AJ16,AO:AP,2,FALSE)))</f>
        <v>0</v>
      </c>
      <c r="AN16" s="80">
        <f ca="1">SUMIF('Consolidated tables'!B:B,'Data inputs'!$T$16,INDIRECT("'Consolidated tables'!"&amp;VLOOKUP(AJ16,AO:AP,2,FALSE)&amp;":"&amp;VLOOKUP(AJ16,AO:AP,2,FALSE)))</f>
        <v>0</v>
      </c>
      <c r="AO16" s="79">
        <v>9</v>
      </c>
      <c r="AP16" s="79" t="s">
        <v>20</v>
      </c>
      <c r="AQ16" s="1"/>
    </row>
    <row r="17" spans="1:43" ht="20.100000000000001" customHeight="1">
      <c r="T17" s="79"/>
      <c r="U17" s="79"/>
      <c r="V17" s="79" t="s">
        <v>8</v>
      </c>
      <c r="W17" s="79" t="s">
        <v>89</v>
      </c>
      <c r="X17" s="83" t="s">
        <v>96</v>
      </c>
      <c r="Y17" s="84" t="s">
        <v>97</v>
      </c>
      <c r="Z17" s="79" t="s">
        <v>2</v>
      </c>
      <c r="AA17" s="79" t="s">
        <v>90</v>
      </c>
      <c r="AB17" s="79"/>
      <c r="AC17" s="79" t="s">
        <v>85</v>
      </c>
      <c r="AD17" s="85" t="s">
        <v>87</v>
      </c>
      <c r="AE17" s="84"/>
      <c r="AF17" s="79"/>
      <c r="AG17" s="84"/>
      <c r="AH17" s="84"/>
      <c r="AI17" s="79"/>
      <c r="AJ17" s="79">
        <v>16</v>
      </c>
      <c r="AK17" s="79">
        <f t="shared" si="1"/>
        <v>20</v>
      </c>
      <c r="AL17" s="79">
        <f ca="1">SUMIF('Consolidated tables'!B:B,'Data inputs'!$T$11,INDIRECT("'Consolidated tables'!"&amp;VLOOKUP(AJ17,AO:AP,2,FALSE)&amp;":"&amp;VLOOKUP(AJ17,AO:AP,2,FALSE)))</f>
        <v>74.423633575439453</v>
      </c>
      <c r="AM17" s="80">
        <f ca="1">SUMIF('Consolidated tables'!B:B,'Data inputs'!$T$15,INDIRECT("'Consolidated tables'!"&amp;VLOOKUP(AJ17,AO:AP,2,FALSE)&amp;":"&amp;VLOOKUP(AJ17,AO:AP,2,FALSE)))</f>
        <v>0</v>
      </c>
      <c r="AN17" s="80">
        <f ca="1">SUMIF('Consolidated tables'!B:B,'Data inputs'!$T$16,INDIRECT("'Consolidated tables'!"&amp;VLOOKUP(AJ17,AO:AP,2,FALSE)&amp;":"&amp;VLOOKUP(AJ17,AO:AP,2,FALSE)))</f>
        <v>0</v>
      </c>
      <c r="AO17" s="79">
        <v>10</v>
      </c>
      <c r="AP17" s="79" t="s">
        <v>21</v>
      </c>
      <c r="AQ17" s="1"/>
    </row>
    <row r="18" spans="1:43" ht="20.100000000000001" customHeight="1">
      <c r="A18" s="11"/>
      <c r="D18" s="11"/>
      <c r="T18" s="79"/>
      <c r="U18" s="79"/>
      <c r="V18" s="80">
        <f>D7</f>
        <v>0</v>
      </c>
      <c r="W18" s="80">
        <f ca="1">AL2*$D$9</f>
        <v>0</v>
      </c>
      <c r="X18" s="80">
        <f ca="1">W18*1.33</f>
        <v>0</v>
      </c>
      <c r="Y18" s="80">
        <f ca="1">W18*0.67</f>
        <v>0</v>
      </c>
      <c r="Z18" s="80">
        <f ca="1">IF(V18=$D$3,1,0)</f>
        <v>0</v>
      </c>
      <c r="AA18" s="79" t="b">
        <f ca="1">IF(Z18=1,TRUE,FALSE)</f>
        <v>0</v>
      </c>
      <c r="AB18" s="79"/>
      <c r="AC18" s="80">
        <f t="shared" ref="AC18:AC42" ca="1" si="2">AM2*$D$9</f>
        <v>0</v>
      </c>
      <c r="AD18" s="80">
        <f ca="1">IF(AA18=TRUE,AC18,0)</f>
        <v>0</v>
      </c>
      <c r="AE18" s="80"/>
      <c r="AF18" s="80"/>
      <c r="AG18" s="80"/>
      <c r="AH18" s="80"/>
      <c r="AI18" s="80"/>
      <c r="AJ18" s="79">
        <v>17</v>
      </c>
      <c r="AK18" s="79">
        <f t="shared" si="1"/>
        <v>20</v>
      </c>
      <c r="AL18" s="79">
        <f ca="1">SUMIF('Consolidated tables'!B:B,'Data inputs'!$T$11,INDIRECT("'Consolidated tables'!"&amp;VLOOKUP(AJ18,AO:AP,2,FALSE)&amp;":"&amp;VLOOKUP(AJ18,AO:AP,2,FALSE)))</f>
        <v>70.724822521209717</v>
      </c>
      <c r="AM18" s="80">
        <f ca="1">SUMIF('Consolidated tables'!B:B,'Data inputs'!$T$15,INDIRECT("'Consolidated tables'!"&amp;VLOOKUP(AJ18,AO:AP,2,FALSE)&amp;":"&amp;VLOOKUP(AJ18,AO:AP,2,FALSE)))</f>
        <v>0</v>
      </c>
      <c r="AN18" s="80">
        <f ca="1">SUMIF('Consolidated tables'!B:B,'Data inputs'!$T$16,INDIRECT("'Consolidated tables'!"&amp;VLOOKUP(AJ18,AO:AP,2,FALSE)&amp;":"&amp;VLOOKUP(AJ18,AO:AP,2,FALSE)))</f>
        <v>0</v>
      </c>
      <c r="AO18" s="79">
        <v>11</v>
      </c>
      <c r="AP18" s="79" t="s">
        <v>22</v>
      </c>
      <c r="AQ18" s="1"/>
    </row>
    <row r="19" spans="1:43" ht="20.100000000000001" customHeight="1">
      <c r="A19" s="11"/>
      <c r="D19" s="11"/>
      <c r="T19" s="79"/>
      <c r="U19" s="79"/>
      <c r="V19" s="80">
        <f>V18+1</f>
        <v>1</v>
      </c>
      <c r="W19" s="80">
        <f t="shared" ref="W19:W42" ca="1" si="3">AL3*$D$9</f>
        <v>0</v>
      </c>
      <c r="X19" s="80">
        <f t="shared" ref="X19:X67" ca="1" si="4">W19*1.33</f>
        <v>0</v>
      </c>
      <c r="Y19" s="80">
        <f t="shared" ref="Y19:Y67" ca="1" si="5">W19*0.67</f>
        <v>0</v>
      </c>
      <c r="Z19" s="80">
        <f t="shared" ref="Z19:Z42" ca="1" si="6">IF(V19=$D$3,1,0)</f>
        <v>0</v>
      </c>
      <c r="AA19" s="79" t="b">
        <f ca="1">IF(Z19=1,TRUE,IF(AA18=TRUE,TRUE,FALSE))</f>
        <v>0</v>
      </c>
      <c r="AB19" s="79"/>
      <c r="AC19" s="80">
        <f t="shared" ca="1" si="2"/>
        <v>0</v>
      </c>
      <c r="AD19" s="80">
        <f t="shared" ref="AD19:AD42" ca="1" si="7">IF(AA19=TRUE,AC19,0)</f>
        <v>0</v>
      </c>
      <c r="AE19" s="80"/>
      <c r="AF19" s="80"/>
      <c r="AG19" s="80"/>
      <c r="AH19" s="80"/>
      <c r="AI19" s="80"/>
      <c r="AJ19" s="79">
        <v>18</v>
      </c>
      <c r="AK19" s="79">
        <f t="shared" si="1"/>
        <v>20</v>
      </c>
      <c r="AL19" s="79">
        <f ca="1">SUMIF('Consolidated tables'!B:B,'Data inputs'!$T$11,INDIRECT("'Consolidated tables'!"&amp;VLOOKUP(AJ19,AO:AP,2,FALSE)&amp;":"&amp;VLOOKUP(AJ19,AO:AP,2,FALSE)))</f>
        <v>67.416463851928739</v>
      </c>
      <c r="AM19" s="80">
        <f ca="1">SUMIF('Consolidated tables'!B:B,'Data inputs'!$T$15,INDIRECT("'Consolidated tables'!"&amp;VLOOKUP(AJ19,AO:AP,2,FALSE)&amp;":"&amp;VLOOKUP(AJ19,AO:AP,2,FALSE)))</f>
        <v>0</v>
      </c>
      <c r="AN19" s="80">
        <f ca="1">SUMIF('Consolidated tables'!B:B,'Data inputs'!$T$16,INDIRECT("'Consolidated tables'!"&amp;VLOOKUP(AJ19,AO:AP,2,FALSE)&amp;":"&amp;VLOOKUP(AJ19,AO:AP,2,FALSE)))</f>
        <v>0</v>
      </c>
      <c r="AO19" s="79">
        <v>12</v>
      </c>
      <c r="AP19" s="79" t="s">
        <v>23</v>
      </c>
      <c r="AQ19" s="1"/>
    </row>
    <row r="20" spans="1:43">
      <c r="T20" s="79"/>
      <c r="U20" s="79"/>
      <c r="V20" s="80">
        <f t="shared" ref="V20:V42" si="8">V19+1</f>
        <v>2</v>
      </c>
      <c r="W20" s="80">
        <f t="shared" ca="1" si="3"/>
        <v>0</v>
      </c>
      <c r="X20" s="80">
        <f t="shared" ca="1" si="4"/>
        <v>0</v>
      </c>
      <c r="Y20" s="80">
        <f t="shared" ca="1" si="5"/>
        <v>0</v>
      </c>
      <c r="Z20" s="80">
        <f t="shared" ca="1" si="6"/>
        <v>0</v>
      </c>
      <c r="AA20" s="79" t="b">
        <f t="shared" ref="AA20:AA42" ca="1" si="9">IF(Z20=1,TRUE,IF(AA19=TRUE,TRUE,FALSE))</f>
        <v>0</v>
      </c>
      <c r="AB20" s="79"/>
      <c r="AC20" s="80">
        <f t="shared" ca="1" si="2"/>
        <v>0</v>
      </c>
      <c r="AD20" s="80">
        <f t="shared" ca="1" si="7"/>
        <v>0</v>
      </c>
      <c r="AE20" s="80"/>
      <c r="AF20" s="80"/>
      <c r="AG20" s="80"/>
      <c r="AH20" s="80"/>
      <c r="AI20" s="80"/>
      <c r="AJ20" s="79">
        <v>19</v>
      </c>
      <c r="AK20" s="79">
        <f>AK15+5</f>
        <v>20</v>
      </c>
      <c r="AL20" s="79">
        <f ca="1">SUMIF('Consolidated tables'!B:B,'Data inputs'!$T$11,INDIRECT("'Consolidated tables'!"&amp;VLOOKUP(AJ20,AO:AP,2,FALSE)&amp;":"&amp;VLOOKUP(AJ20,AO:AP,2,FALSE)))</f>
        <v>64.464767456054687</v>
      </c>
      <c r="AM20" s="80">
        <f ca="1">SUMIF('Consolidated tables'!B:B,'Data inputs'!$T$15,INDIRECT("'Consolidated tables'!"&amp;VLOOKUP(AJ20,AO:AP,2,FALSE)&amp;":"&amp;VLOOKUP(AJ20,AO:AP,2,FALSE)))</f>
        <v>0</v>
      </c>
      <c r="AN20" s="80">
        <f ca="1">SUMIF('Consolidated tables'!B:B,'Data inputs'!$T$16,INDIRECT("'Consolidated tables'!"&amp;VLOOKUP(AJ20,AO:AP,2,FALSE)&amp;":"&amp;VLOOKUP(AJ20,AO:AP,2,FALSE)))</f>
        <v>0</v>
      </c>
      <c r="AO20" s="79">
        <v>13</v>
      </c>
      <c r="AP20" s="79" t="s">
        <v>24</v>
      </c>
      <c r="AQ20" s="1"/>
    </row>
    <row r="21" spans="1:43">
      <c r="T21" s="79"/>
      <c r="U21" s="79"/>
      <c r="V21" s="80">
        <f t="shared" si="8"/>
        <v>3</v>
      </c>
      <c r="W21" s="80">
        <f ca="1">AL5*$D$9</f>
        <v>0</v>
      </c>
      <c r="X21" s="80">
        <f t="shared" ca="1" si="4"/>
        <v>0</v>
      </c>
      <c r="Y21" s="80">
        <f t="shared" ca="1" si="5"/>
        <v>0</v>
      </c>
      <c r="Z21" s="80">
        <f t="shared" ca="1" si="6"/>
        <v>0</v>
      </c>
      <c r="AA21" s="79" t="b">
        <f t="shared" ca="1" si="9"/>
        <v>0</v>
      </c>
      <c r="AB21" s="79"/>
      <c r="AC21" s="80">
        <f t="shared" ca="1" si="2"/>
        <v>0</v>
      </c>
      <c r="AD21" s="80">
        <f t="shared" ca="1" si="7"/>
        <v>0</v>
      </c>
      <c r="AE21" s="80"/>
      <c r="AF21" s="80"/>
      <c r="AG21" s="80"/>
      <c r="AH21" s="80"/>
      <c r="AI21" s="80"/>
      <c r="AJ21" s="79">
        <v>20</v>
      </c>
      <c r="AK21" s="79">
        <f>AK16+5</f>
        <v>20</v>
      </c>
      <c r="AL21" s="79">
        <f ca="1">SUMIF('Consolidated tables'!B:B,'Data inputs'!$T$11,INDIRECT("'Consolidated tables'!"&amp;VLOOKUP(AJ21,AO:AP,2,FALSE)&amp;":"&amp;VLOOKUP(AJ21,AO:AP,2,FALSE)))</f>
        <v>61.839040994644158</v>
      </c>
      <c r="AM21" s="80">
        <f ca="1">SUMIF('Consolidated tables'!B:B,'Data inputs'!$T$15,INDIRECT("'Consolidated tables'!"&amp;VLOOKUP(AJ21,AO:AP,2,FALSE)&amp;":"&amp;VLOOKUP(AJ21,AO:AP,2,FALSE)))</f>
        <v>0</v>
      </c>
      <c r="AN21" s="80">
        <f ca="1">SUMIF('Consolidated tables'!B:B,'Data inputs'!$T$16,INDIRECT("'Consolidated tables'!"&amp;VLOOKUP(AJ21,AO:AP,2,FALSE)&amp;":"&amp;VLOOKUP(AJ21,AO:AP,2,FALSE)))</f>
        <v>0</v>
      </c>
      <c r="AO21" s="79">
        <v>14</v>
      </c>
      <c r="AP21" s="79" t="s">
        <v>25</v>
      </c>
      <c r="AQ21" s="1"/>
    </row>
    <row r="22" spans="1:43">
      <c r="T22" s="79"/>
      <c r="U22" s="79"/>
      <c r="V22" s="80">
        <f t="shared" si="8"/>
        <v>4</v>
      </c>
      <c r="W22" s="80">
        <f ca="1">AL6*$D$9</f>
        <v>0</v>
      </c>
      <c r="X22" s="80">
        <f t="shared" ca="1" si="4"/>
        <v>0</v>
      </c>
      <c r="Y22" s="80">
        <f t="shared" ca="1" si="5"/>
        <v>0</v>
      </c>
      <c r="Z22" s="80">
        <f t="shared" ca="1" si="6"/>
        <v>0</v>
      </c>
      <c r="AA22" s="79" t="b">
        <f t="shared" ca="1" si="9"/>
        <v>0</v>
      </c>
      <c r="AB22" s="79"/>
      <c r="AC22" s="80">
        <f t="shared" ca="1" si="2"/>
        <v>0</v>
      </c>
      <c r="AD22" s="80">
        <f t="shared" ca="1" si="7"/>
        <v>0</v>
      </c>
      <c r="AE22" s="80"/>
      <c r="AF22" s="80"/>
      <c r="AG22" s="80"/>
      <c r="AH22" s="80"/>
      <c r="AI22" s="80"/>
      <c r="AJ22" s="79">
        <v>21</v>
      </c>
      <c r="AK22" s="79">
        <f>AK17+5</f>
        <v>25</v>
      </c>
      <c r="AL22" s="79">
        <f ca="1">SUMIF('Consolidated tables'!B:B,'Data inputs'!$T$11,INDIRECT("'Consolidated tables'!"&amp;VLOOKUP(AJ22,AO:AP,2,FALSE)&amp;":"&amp;VLOOKUP(AJ22,AO:AP,2,FALSE)))</f>
        <v>59.511375904083259</v>
      </c>
      <c r="AM22" s="80">
        <f ca="1">SUMIF('Consolidated tables'!B:B,'Data inputs'!$T$15,INDIRECT("'Consolidated tables'!"&amp;VLOOKUP(AJ22,AO:AP,2,FALSE)&amp;":"&amp;VLOOKUP(AJ22,AO:AP,2,FALSE)))</f>
        <v>0</v>
      </c>
      <c r="AN22" s="80">
        <f ca="1">SUMIF('Consolidated tables'!B:B,'Data inputs'!$T$16,INDIRECT("'Consolidated tables'!"&amp;VLOOKUP(AJ22,AO:AP,2,FALSE)&amp;":"&amp;VLOOKUP(AJ22,AO:AP,2,FALSE)))</f>
        <v>0</v>
      </c>
      <c r="AO22" s="79">
        <v>15</v>
      </c>
      <c r="AP22" s="79" t="s">
        <v>26</v>
      </c>
      <c r="AQ22" s="1"/>
    </row>
    <row r="23" spans="1:43">
      <c r="T23" s="79"/>
      <c r="U23" s="79"/>
      <c r="V23" s="80">
        <f t="shared" si="8"/>
        <v>5</v>
      </c>
      <c r="W23" s="80">
        <f t="shared" ca="1" si="3"/>
        <v>0</v>
      </c>
      <c r="X23" s="80">
        <f t="shared" ca="1" si="4"/>
        <v>0</v>
      </c>
      <c r="Y23" s="80">
        <f t="shared" ca="1" si="5"/>
        <v>0</v>
      </c>
      <c r="Z23" s="80">
        <f t="shared" ca="1" si="6"/>
        <v>0</v>
      </c>
      <c r="AA23" s="79" t="b">
        <f t="shared" ca="1" si="9"/>
        <v>0</v>
      </c>
      <c r="AB23" s="79"/>
      <c r="AC23" s="80">
        <f t="shared" ca="1" si="2"/>
        <v>0</v>
      </c>
      <c r="AD23" s="80">
        <f t="shared" ca="1" si="7"/>
        <v>0</v>
      </c>
      <c r="AE23" s="80"/>
      <c r="AF23" s="80"/>
      <c r="AG23" s="80"/>
      <c r="AH23" s="80"/>
      <c r="AI23" s="80"/>
      <c r="AJ23" s="79">
        <v>22</v>
      </c>
      <c r="AK23" s="79">
        <f>AK18+5</f>
        <v>25</v>
      </c>
      <c r="AL23" s="79">
        <f ca="1">SUMIF('Consolidated tables'!B:B,'Data inputs'!$T$11,INDIRECT("'Consolidated tables'!"&amp;VLOOKUP(AJ23,AO:AP,2,FALSE)&amp;":"&amp;VLOOKUP(AJ23,AO:AP,2,FALSE)))</f>
        <v>57.45635986328125</v>
      </c>
      <c r="AM23" s="80">
        <f ca="1">SUMIF('Consolidated tables'!B:B,'Data inputs'!$T$15,INDIRECT("'Consolidated tables'!"&amp;VLOOKUP(AJ23,AO:AP,2,FALSE)&amp;":"&amp;VLOOKUP(AJ23,AO:AP,2,FALSE)))</f>
        <v>0</v>
      </c>
      <c r="AN23" s="80">
        <f ca="1">SUMIF('Consolidated tables'!B:B,'Data inputs'!$T$16,INDIRECT("'Consolidated tables'!"&amp;VLOOKUP(AJ23,AO:AP,2,FALSE)&amp;":"&amp;VLOOKUP(AJ23,AO:AP,2,FALSE)))</f>
        <v>0</v>
      </c>
      <c r="AO23" s="79">
        <v>16</v>
      </c>
      <c r="AP23" s="79" t="s">
        <v>27</v>
      </c>
      <c r="AQ23" s="1"/>
    </row>
    <row r="24" spans="1:43">
      <c r="T24" s="79"/>
      <c r="U24" s="79"/>
      <c r="V24" s="80">
        <f t="shared" si="8"/>
        <v>6</v>
      </c>
      <c r="W24" s="80">
        <f t="shared" ca="1" si="3"/>
        <v>0</v>
      </c>
      <c r="X24" s="80">
        <f t="shared" ca="1" si="4"/>
        <v>0</v>
      </c>
      <c r="Y24" s="80">
        <f t="shared" ca="1" si="5"/>
        <v>0</v>
      </c>
      <c r="Z24" s="80">
        <f t="shared" ca="1" si="6"/>
        <v>0</v>
      </c>
      <c r="AA24" s="79" t="b">
        <f t="shared" ca="1" si="9"/>
        <v>0</v>
      </c>
      <c r="AB24" s="79"/>
      <c r="AC24" s="80">
        <f t="shared" ca="1" si="2"/>
        <v>0</v>
      </c>
      <c r="AD24" s="80">
        <f t="shared" ca="1" si="7"/>
        <v>0</v>
      </c>
      <c r="AE24" s="80"/>
      <c r="AF24" s="80"/>
      <c r="AG24" s="80"/>
      <c r="AH24" s="80"/>
      <c r="AI24" s="80"/>
      <c r="AJ24" s="79">
        <v>23</v>
      </c>
      <c r="AK24" s="79">
        <f>AK19+5</f>
        <v>25</v>
      </c>
      <c r="AL24" s="79">
        <f ca="1">SUMIF('Consolidated tables'!B:B,'Data inputs'!$T$11,INDIRECT("'Consolidated tables'!"&amp;VLOOKUP(AJ24,AO:AP,2,FALSE)&amp;":"&amp;VLOOKUP(AJ24,AO:AP,2,FALSE)))</f>
        <v>55.650842428207397</v>
      </c>
      <c r="AM24" s="80">
        <f ca="1">SUMIF('Consolidated tables'!B:B,'Data inputs'!$T$15,INDIRECT("'Consolidated tables'!"&amp;VLOOKUP(AJ24,AO:AP,2,FALSE)&amp;":"&amp;VLOOKUP(AJ24,AO:AP,2,FALSE)))</f>
        <v>0</v>
      </c>
      <c r="AN24" s="80">
        <f ca="1">SUMIF('Consolidated tables'!B:B,'Data inputs'!$T$16,INDIRECT("'Consolidated tables'!"&amp;VLOOKUP(AJ24,AO:AP,2,FALSE)&amp;":"&amp;VLOOKUP(AJ24,AO:AP,2,FALSE)))</f>
        <v>0</v>
      </c>
      <c r="AO24" s="79">
        <v>17</v>
      </c>
      <c r="AP24" s="79" t="s">
        <v>28</v>
      </c>
      <c r="AQ24" s="1"/>
    </row>
    <row r="25" spans="1:43">
      <c r="T25" s="79"/>
      <c r="U25" s="79"/>
      <c r="V25" s="80">
        <f t="shared" si="8"/>
        <v>7</v>
      </c>
      <c r="W25" s="80">
        <f t="shared" ca="1" si="3"/>
        <v>0</v>
      </c>
      <c r="X25" s="80">
        <f t="shared" ca="1" si="4"/>
        <v>0</v>
      </c>
      <c r="Y25" s="80">
        <f t="shared" ca="1" si="5"/>
        <v>0</v>
      </c>
      <c r="Z25" s="80">
        <f t="shared" ca="1" si="6"/>
        <v>0</v>
      </c>
      <c r="AA25" s="79" t="b">
        <f t="shared" ca="1" si="9"/>
        <v>0</v>
      </c>
      <c r="AB25" s="79"/>
      <c r="AC25" s="80">
        <f t="shared" ca="1" si="2"/>
        <v>0</v>
      </c>
      <c r="AD25" s="80">
        <f t="shared" ca="1" si="7"/>
        <v>0</v>
      </c>
      <c r="AE25" s="80"/>
      <c r="AF25" s="80"/>
      <c r="AG25" s="80"/>
      <c r="AH25" s="80"/>
      <c r="AI25" s="80"/>
      <c r="AJ25" s="79">
        <v>24</v>
      </c>
      <c r="AK25" s="79">
        <f t="shared" si="1"/>
        <v>25</v>
      </c>
      <c r="AL25" s="79">
        <f ca="1">SUMIF('Consolidated tables'!B:B,'Data inputs'!$T$11,INDIRECT("'Consolidated tables'!"&amp;VLOOKUP(AJ25,AO:AP,2,FALSE)&amp;":"&amp;VLOOKUP(AJ25,AO:AP,2,FALSE)))</f>
        <v>54.073722600936897</v>
      </c>
      <c r="AM25" s="80">
        <f ca="1">SUMIF('Consolidated tables'!B:B,'Data inputs'!$T$15,INDIRECT("'Consolidated tables'!"&amp;VLOOKUP(AJ25,AO:AP,2,FALSE)&amp;":"&amp;VLOOKUP(AJ25,AO:AP,2,FALSE)))</f>
        <v>0</v>
      </c>
      <c r="AN25" s="80">
        <f ca="1">SUMIF('Consolidated tables'!B:B,'Data inputs'!$T$16,INDIRECT("'Consolidated tables'!"&amp;VLOOKUP(AJ25,AO:AP,2,FALSE)&amp;":"&amp;VLOOKUP(AJ25,AO:AP,2,FALSE)))</f>
        <v>0</v>
      </c>
      <c r="AO25" s="79">
        <v>18</v>
      </c>
      <c r="AP25" s="79" t="s">
        <v>29</v>
      </c>
      <c r="AQ25" s="1"/>
    </row>
    <row r="26" spans="1:43">
      <c r="T26" s="79"/>
      <c r="U26" s="79"/>
      <c r="V26" s="80">
        <f t="shared" si="8"/>
        <v>8</v>
      </c>
      <c r="W26" s="80">
        <f t="shared" ca="1" si="3"/>
        <v>0</v>
      </c>
      <c r="X26" s="80">
        <f t="shared" ca="1" si="4"/>
        <v>0</v>
      </c>
      <c r="Y26" s="80">
        <f t="shared" ca="1" si="5"/>
        <v>0</v>
      </c>
      <c r="Z26" s="80">
        <f t="shared" ca="1" si="6"/>
        <v>0</v>
      </c>
      <c r="AA26" s="79" t="b">
        <f t="shared" ca="1" si="9"/>
        <v>0</v>
      </c>
      <c r="AB26" s="79"/>
      <c r="AC26" s="80">
        <f t="shared" ca="1" si="2"/>
        <v>0</v>
      </c>
      <c r="AD26" s="80">
        <f t="shared" ca="1" si="7"/>
        <v>0</v>
      </c>
      <c r="AE26" s="80"/>
      <c r="AF26" s="80"/>
      <c r="AG26" s="80"/>
      <c r="AH26" s="80"/>
      <c r="AI26" s="80"/>
      <c r="AJ26" s="79">
        <v>25</v>
      </c>
      <c r="AK26" s="79">
        <f t="shared" si="1"/>
        <v>25</v>
      </c>
      <c r="AL26" s="79">
        <f ca="1">SUMIF('Consolidated tables'!B:B,'Data inputs'!$T$11,INDIRECT("'Consolidated tables'!"&amp;VLOOKUP(AJ26,AO:AP,2,FALSE)&amp;":"&amp;VLOOKUP(AJ26,AO:AP,2,FALSE)))</f>
        <v>52.705755472183235</v>
      </c>
      <c r="AM26" s="80">
        <f ca="1">SUMIF('Consolidated tables'!B:B,'Data inputs'!$T$15,INDIRECT("'Consolidated tables'!"&amp;VLOOKUP(AJ26,AO:AP,2,FALSE)&amp;":"&amp;VLOOKUP(AJ26,AO:AP,2,FALSE)))</f>
        <v>0</v>
      </c>
      <c r="AN26" s="80">
        <f ca="1">SUMIF('Consolidated tables'!B:B,'Data inputs'!$T$16,INDIRECT("'Consolidated tables'!"&amp;VLOOKUP(AJ26,AO:AP,2,FALSE)&amp;":"&amp;VLOOKUP(AJ26,AO:AP,2,FALSE)))</f>
        <v>0</v>
      </c>
      <c r="AO26" s="79">
        <v>19</v>
      </c>
      <c r="AP26" s="79" t="s">
        <v>30</v>
      </c>
      <c r="AQ26" s="1"/>
    </row>
    <row r="27" spans="1:43">
      <c r="T27" s="79"/>
      <c r="U27" s="79"/>
      <c r="V27" s="80">
        <f t="shared" si="8"/>
        <v>9</v>
      </c>
      <c r="W27" s="80">
        <f t="shared" ca="1" si="3"/>
        <v>0</v>
      </c>
      <c r="X27" s="80">
        <f t="shared" ca="1" si="4"/>
        <v>0</v>
      </c>
      <c r="Y27" s="80">
        <f t="shared" ca="1" si="5"/>
        <v>0</v>
      </c>
      <c r="Z27" s="80">
        <f t="shared" ca="1" si="6"/>
        <v>0</v>
      </c>
      <c r="AA27" s="79" t="b">
        <f t="shared" ca="1" si="9"/>
        <v>0</v>
      </c>
      <c r="AB27" s="79"/>
      <c r="AC27" s="80">
        <f t="shared" ca="1" si="2"/>
        <v>0</v>
      </c>
      <c r="AD27" s="80">
        <f t="shared" ca="1" si="7"/>
        <v>0</v>
      </c>
      <c r="AE27" s="80"/>
      <c r="AF27" s="80"/>
      <c r="AG27" s="80"/>
      <c r="AH27" s="80"/>
      <c r="AI27" s="80"/>
      <c r="AJ27" s="79">
        <v>26</v>
      </c>
      <c r="AK27" s="79">
        <f t="shared" si="1"/>
        <v>30</v>
      </c>
      <c r="AL27" s="79">
        <f ca="1">SUMIF('Consolidated tables'!B:B,'Data inputs'!$T$11,INDIRECT("'Consolidated tables'!"&amp;VLOOKUP(AJ27,AO:AP,2,FALSE)&amp;":"&amp;VLOOKUP(AJ27,AO:AP,2,FALSE)))</f>
        <v>51.529382705688455</v>
      </c>
      <c r="AM27" s="80">
        <f ca="1">SUMIF('Consolidated tables'!B:B,'Data inputs'!$T$15,INDIRECT("'Consolidated tables'!"&amp;VLOOKUP(AJ27,AO:AP,2,FALSE)&amp;":"&amp;VLOOKUP(AJ27,AO:AP,2,FALSE)))</f>
        <v>0</v>
      </c>
      <c r="AN27" s="80">
        <f ca="1">SUMIF('Consolidated tables'!B:B,'Data inputs'!$T$16,INDIRECT("'Consolidated tables'!"&amp;VLOOKUP(AJ27,AO:AP,2,FALSE)&amp;":"&amp;VLOOKUP(AJ27,AO:AP,2,FALSE)))</f>
        <v>0</v>
      </c>
      <c r="AO27" s="79">
        <v>20</v>
      </c>
      <c r="AP27" s="79" t="s">
        <v>31</v>
      </c>
      <c r="AQ27" s="1"/>
    </row>
    <row r="28" spans="1:43">
      <c r="T28" s="79"/>
      <c r="U28" s="79"/>
      <c r="V28" s="80">
        <f t="shared" si="8"/>
        <v>10</v>
      </c>
      <c r="W28" s="80">
        <f t="shared" ca="1" si="3"/>
        <v>0</v>
      </c>
      <c r="X28" s="80">
        <f t="shared" ca="1" si="4"/>
        <v>0</v>
      </c>
      <c r="Y28" s="80">
        <f t="shared" ca="1" si="5"/>
        <v>0</v>
      </c>
      <c r="Z28" s="80">
        <f t="shared" ca="1" si="6"/>
        <v>0</v>
      </c>
      <c r="AA28" s="79" t="b">
        <f t="shared" ca="1" si="9"/>
        <v>0</v>
      </c>
      <c r="AB28" s="79"/>
      <c r="AC28" s="80">
        <f t="shared" ca="1" si="2"/>
        <v>0</v>
      </c>
      <c r="AD28" s="80">
        <f t="shared" ca="1" si="7"/>
        <v>0</v>
      </c>
      <c r="AE28" s="80"/>
      <c r="AF28" s="80"/>
      <c r="AG28" s="80"/>
      <c r="AH28" s="80"/>
      <c r="AI28" s="80"/>
      <c r="AJ28" s="79">
        <v>27</v>
      </c>
      <c r="AK28" s="79">
        <f t="shared" si="1"/>
        <v>30</v>
      </c>
      <c r="AL28" s="79">
        <f ca="1">SUMIF('Consolidated tables'!B:B,'Data inputs'!$T$11,INDIRECT("'Consolidated tables'!"&amp;VLOOKUP(AJ28,AO:AP,2,FALSE)&amp;":"&amp;VLOOKUP(AJ28,AO:AP,2,FALSE)))</f>
        <v>50.528579711914048</v>
      </c>
      <c r="AM28" s="80">
        <f ca="1">SUMIF('Consolidated tables'!B:B,'Data inputs'!$T$15,INDIRECT("'Consolidated tables'!"&amp;VLOOKUP(AJ28,AO:AP,2,FALSE)&amp;":"&amp;VLOOKUP(AJ28,AO:AP,2,FALSE)))</f>
        <v>0</v>
      </c>
      <c r="AN28" s="80">
        <f ca="1">SUMIF('Consolidated tables'!B:B,'Data inputs'!$T$16,INDIRECT("'Consolidated tables'!"&amp;VLOOKUP(AJ28,AO:AP,2,FALSE)&amp;":"&amp;VLOOKUP(AJ28,AO:AP,2,FALSE)))</f>
        <v>0</v>
      </c>
      <c r="AO28" s="79">
        <v>21</v>
      </c>
      <c r="AP28" s="79" t="s">
        <v>32</v>
      </c>
      <c r="AQ28" s="1"/>
    </row>
    <row r="29" spans="1:43">
      <c r="T29" s="79"/>
      <c r="U29" s="79"/>
      <c r="V29" s="80">
        <f>V28+1</f>
        <v>11</v>
      </c>
      <c r="W29" s="80">
        <f t="shared" ca="1" si="3"/>
        <v>0</v>
      </c>
      <c r="X29" s="80">
        <f t="shared" ca="1" si="4"/>
        <v>0</v>
      </c>
      <c r="Y29" s="80">
        <f t="shared" ca="1" si="5"/>
        <v>0</v>
      </c>
      <c r="Z29" s="80">
        <f t="shared" ca="1" si="6"/>
        <v>0</v>
      </c>
      <c r="AA29" s="79" t="b">
        <f t="shared" ca="1" si="9"/>
        <v>0</v>
      </c>
      <c r="AB29" s="79"/>
      <c r="AC29" s="80">
        <f t="shared" ca="1" si="2"/>
        <v>0</v>
      </c>
      <c r="AD29" s="80">
        <f t="shared" ca="1" si="7"/>
        <v>0</v>
      </c>
      <c r="AE29" s="80"/>
      <c r="AF29" s="80"/>
      <c r="AG29" s="80"/>
      <c r="AH29" s="80"/>
      <c r="AI29" s="80"/>
      <c r="AJ29" s="79">
        <v>28</v>
      </c>
      <c r="AK29" s="79">
        <f t="shared" si="1"/>
        <v>30</v>
      </c>
      <c r="AL29" s="79">
        <f ca="1">SUMIF('Consolidated tables'!B:B,'Data inputs'!$T$11,INDIRECT("'Consolidated tables'!"&amp;VLOOKUP(AJ29,AO:AP,2,FALSE)&amp;":"&amp;VLOOKUP(AJ29,AO:AP,2,FALSE)))</f>
        <v>49.68871092796325</v>
      </c>
      <c r="AM29" s="80">
        <f ca="1">SUMIF('Consolidated tables'!B:B,'Data inputs'!$T$15,INDIRECT("'Consolidated tables'!"&amp;VLOOKUP(AJ29,AO:AP,2,FALSE)&amp;":"&amp;VLOOKUP(AJ29,AO:AP,2,FALSE)))</f>
        <v>0</v>
      </c>
      <c r="AN29" s="80">
        <f ca="1">SUMIF('Consolidated tables'!B:B,'Data inputs'!$T$16,INDIRECT("'Consolidated tables'!"&amp;VLOOKUP(AJ29,AO:AP,2,FALSE)&amp;":"&amp;VLOOKUP(AJ29,AO:AP,2,FALSE)))</f>
        <v>0</v>
      </c>
      <c r="AO29" s="79">
        <v>22</v>
      </c>
      <c r="AP29" s="79" t="s">
        <v>33</v>
      </c>
      <c r="AQ29" s="1"/>
    </row>
    <row r="30" spans="1:43">
      <c r="T30" s="79"/>
      <c r="U30" s="79"/>
      <c r="V30" s="80">
        <f t="shared" si="8"/>
        <v>12</v>
      </c>
      <c r="W30" s="80">
        <f t="shared" ca="1" si="3"/>
        <v>0</v>
      </c>
      <c r="X30" s="80">
        <f t="shared" ca="1" si="4"/>
        <v>0</v>
      </c>
      <c r="Y30" s="80">
        <f t="shared" ca="1" si="5"/>
        <v>0</v>
      </c>
      <c r="Z30" s="80">
        <f t="shared" ca="1" si="6"/>
        <v>0</v>
      </c>
      <c r="AA30" s="79" t="b">
        <f t="shared" ca="1" si="9"/>
        <v>0</v>
      </c>
      <c r="AB30" s="79"/>
      <c r="AC30" s="80">
        <f t="shared" ca="1" si="2"/>
        <v>0</v>
      </c>
      <c r="AD30" s="80">
        <f t="shared" ca="1" si="7"/>
        <v>0</v>
      </c>
      <c r="AE30" s="80"/>
      <c r="AF30" s="80"/>
      <c r="AG30" s="80"/>
      <c r="AH30" s="80"/>
      <c r="AI30" s="80"/>
      <c r="AJ30" s="79">
        <v>29</v>
      </c>
      <c r="AK30" s="79">
        <f t="shared" si="1"/>
        <v>30</v>
      </c>
      <c r="AL30" s="79">
        <f ca="1">SUMIF('Consolidated tables'!B:B,'Data inputs'!$T$11,INDIRECT("'Consolidated tables'!"&amp;VLOOKUP(AJ30,AO:AP,2,FALSE)&amp;":"&amp;VLOOKUP(AJ30,AO:AP,2,FALSE)))</f>
        <v>48.996410489082351</v>
      </c>
      <c r="AM30" s="80">
        <f ca="1">SUMIF('Consolidated tables'!B:B,'Data inputs'!$T$15,INDIRECT("'Consolidated tables'!"&amp;VLOOKUP(AJ30,AO:AP,2,FALSE)&amp;":"&amp;VLOOKUP(AJ30,AO:AP,2,FALSE)))</f>
        <v>0</v>
      </c>
      <c r="AN30" s="80">
        <f ca="1">SUMIF('Consolidated tables'!B:B,'Data inputs'!$T$16,INDIRECT("'Consolidated tables'!"&amp;VLOOKUP(AJ30,AO:AP,2,FALSE)&amp;":"&amp;VLOOKUP(AJ30,AO:AP,2,FALSE)))</f>
        <v>0</v>
      </c>
      <c r="AO30" s="79">
        <v>23</v>
      </c>
      <c r="AP30" s="79" t="s">
        <v>34</v>
      </c>
      <c r="AQ30" s="1"/>
    </row>
    <row r="31" spans="1:43">
      <c r="T31" s="79"/>
      <c r="U31" s="79"/>
      <c r="V31" s="80">
        <f t="shared" si="8"/>
        <v>13</v>
      </c>
      <c r="W31" s="80">
        <f t="shared" ca="1" si="3"/>
        <v>0</v>
      </c>
      <c r="X31" s="80">
        <f t="shared" ca="1" si="4"/>
        <v>0</v>
      </c>
      <c r="Y31" s="80">
        <f t="shared" ca="1" si="5"/>
        <v>0</v>
      </c>
      <c r="Z31" s="80">
        <f t="shared" ca="1" si="6"/>
        <v>0</v>
      </c>
      <c r="AA31" s="79" t="b">
        <f t="shared" ca="1" si="9"/>
        <v>0</v>
      </c>
      <c r="AB31" s="79"/>
      <c r="AC31" s="80">
        <f t="shared" ca="1" si="2"/>
        <v>0</v>
      </c>
      <c r="AD31" s="80">
        <f t="shared" ca="1" si="7"/>
        <v>0</v>
      </c>
      <c r="AE31" s="80"/>
      <c r="AF31" s="80"/>
      <c r="AG31" s="80"/>
      <c r="AH31" s="80"/>
      <c r="AI31" s="80"/>
      <c r="AJ31" s="79">
        <v>30</v>
      </c>
      <c r="AK31" s="79">
        <f t="shared" si="1"/>
        <v>30</v>
      </c>
      <c r="AL31" s="79">
        <f ca="1">SUMIF('Consolidated tables'!B:B,'Data inputs'!$T$11,INDIRECT("'Consolidated tables'!"&amp;VLOOKUP(AJ31,AO:AP,2,FALSE)&amp;":"&amp;VLOOKUP(AJ31,AO:AP,2,FALSE)))</f>
        <v>48.439462661743164</v>
      </c>
      <c r="AM31" s="80">
        <f ca="1">SUMIF('Consolidated tables'!B:B,'Data inputs'!$T$15,INDIRECT("'Consolidated tables'!"&amp;VLOOKUP(AJ31,AO:AP,2,FALSE)&amp;":"&amp;VLOOKUP(AJ31,AO:AP,2,FALSE)))</f>
        <v>0</v>
      </c>
      <c r="AN31" s="80">
        <f ca="1">SUMIF('Consolidated tables'!B:B,'Data inputs'!$T$16,INDIRECT("'Consolidated tables'!"&amp;VLOOKUP(AJ31,AO:AP,2,FALSE)&amp;":"&amp;VLOOKUP(AJ31,AO:AP,2,FALSE)))</f>
        <v>0</v>
      </c>
      <c r="AO31" s="79">
        <v>24</v>
      </c>
      <c r="AP31" s="79" t="s">
        <v>35</v>
      </c>
      <c r="AQ31" s="1"/>
    </row>
    <row r="32" spans="1:43">
      <c r="T32" s="79"/>
      <c r="U32" s="79"/>
      <c r="V32" s="80">
        <f t="shared" si="8"/>
        <v>14</v>
      </c>
      <c r="W32" s="80">
        <f t="shared" ca="1" si="3"/>
        <v>0</v>
      </c>
      <c r="X32" s="80">
        <f t="shared" ca="1" si="4"/>
        <v>0</v>
      </c>
      <c r="Y32" s="80">
        <f t="shared" ca="1" si="5"/>
        <v>0</v>
      </c>
      <c r="Z32" s="80">
        <f t="shared" ca="1" si="6"/>
        <v>0</v>
      </c>
      <c r="AA32" s="79" t="b">
        <f t="shared" ca="1" si="9"/>
        <v>0</v>
      </c>
      <c r="AB32" s="79"/>
      <c r="AC32" s="80">
        <f t="shared" ca="1" si="2"/>
        <v>0</v>
      </c>
      <c r="AD32" s="80">
        <f t="shared" ca="1" si="7"/>
        <v>0</v>
      </c>
      <c r="AE32" s="80"/>
      <c r="AF32" s="80"/>
      <c r="AG32" s="80"/>
      <c r="AH32" s="80"/>
      <c r="AI32" s="80"/>
      <c r="AJ32" s="79">
        <v>31</v>
      </c>
      <c r="AK32" s="79">
        <f t="shared" si="1"/>
        <v>35</v>
      </c>
      <c r="AL32" s="79">
        <f ca="1">SUMIF('Consolidated tables'!B:B,'Data inputs'!$T$11,INDIRECT("'Consolidated tables'!"&amp;VLOOKUP(AJ32,AO:AP,2,FALSE)&amp;":"&amp;VLOOKUP(AJ32,AO:AP,2,FALSE)))</f>
        <v>48.006703138351455</v>
      </c>
      <c r="AM32" s="80">
        <f ca="1">SUMIF('Consolidated tables'!B:B,'Data inputs'!$T$15,INDIRECT("'Consolidated tables'!"&amp;VLOOKUP(AJ32,AO:AP,2,FALSE)&amp;":"&amp;VLOOKUP(AJ32,AO:AP,2,FALSE)))</f>
        <v>0</v>
      </c>
      <c r="AN32" s="80">
        <f ca="1">SUMIF('Consolidated tables'!B:B,'Data inputs'!$T$16,INDIRECT("'Consolidated tables'!"&amp;VLOOKUP(AJ32,AO:AP,2,FALSE)&amp;":"&amp;VLOOKUP(AJ32,AO:AP,2,FALSE)))</f>
        <v>0</v>
      </c>
      <c r="AO32" s="79">
        <v>25</v>
      </c>
      <c r="AP32" s="79" t="s">
        <v>36</v>
      </c>
      <c r="AQ32" s="1"/>
    </row>
    <row r="33" spans="1:43">
      <c r="T33" s="79"/>
      <c r="U33" s="79"/>
      <c r="V33" s="80">
        <f t="shared" si="8"/>
        <v>15</v>
      </c>
      <c r="W33" s="80">
        <f t="shared" ca="1" si="3"/>
        <v>0</v>
      </c>
      <c r="X33" s="80">
        <f t="shared" ca="1" si="4"/>
        <v>0</v>
      </c>
      <c r="Y33" s="80">
        <f t="shared" ca="1" si="5"/>
        <v>0</v>
      </c>
      <c r="Z33" s="80">
        <f t="shared" ca="1" si="6"/>
        <v>0</v>
      </c>
      <c r="AA33" s="79" t="b">
        <f t="shared" ca="1" si="9"/>
        <v>0</v>
      </c>
      <c r="AB33" s="79"/>
      <c r="AC33" s="80">
        <f t="shared" ca="1" si="2"/>
        <v>0</v>
      </c>
      <c r="AD33" s="80">
        <f t="shared" ca="1" si="7"/>
        <v>0</v>
      </c>
      <c r="AE33" s="80"/>
      <c r="AF33" s="80"/>
      <c r="AG33" s="80"/>
      <c r="AH33" s="80"/>
      <c r="AI33" s="80"/>
      <c r="AJ33" s="79">
        <v>32</v>
      </c>
      <c r="AK33" s="79">
        <f t="shared" si="1"/>
        <v>35</v>
      </c>
      <c r="AL33" s="79">
        <f ca="1">SUMIF('Consolidated tables'!B:B,'Data inputs'!$T$11,INDIRECT("'Consolidated tables'!"&amp;VLOOKUP(AJ33,AO:AP,2,FALSE)&amp;":"&amp;VLOOKUP(AJ33,AO:AP,2,FALSE)))</f>
        <v>47.687920331954956</v>
      </c>
      <c r="AM33" s="80">
        <f ca="1">SUMIF('Consolidated tables'!B:B,'Data inputs'!$T$15,INDIRECT("'Consolidated tables'!"&amp;VLOOKUP(AJ33,AO:AP,2,FALSE)&amp;":"&amp;VLOOKUP(AJ33,AO:AP,2,FALSE)))</f>
        <v>0</v>
      </c>
      <c r="AN33" s="80">
        <f ca="1">SUMIF('Consolidated tables'!B:B,'Data inputs'!$T$16,INDIRECT("'Consolidated tables'!"&amp;VLOOKUP(AJ33,AO:AP,2,FALSE)&amp;":"&amp;VLOOKUP(AJ33,AO:AP,2,FALSE)))</f>
        <v>0</v>
      </c>
      <c r="AO33" s="79">
        <v>26</v>
      </c>
      <c r="AP33" s="79" t="s">
        <v>37</v>
      </c>
      <c r="AQ33" s="1"/>
    </row>
    <row r="34" spans="1:43">
      <c r="T34" s="79"/>
      <c r="U34" s="79"/>
      <c r="V34" s="80">
        <f t="shared" si="8"/>
        <v>16</v>
      </c>
      <c r="W34" s="80">
        <f t="shared" ca="1" si="3"/>
        <v>0</v>
      </c>
      <c r="X34" s="80">
        <f t="shared" ca="1" si="4"/>
        <v>0</v>
      </c>
      <c r="Y34" s="80">
        <f t="shared" ca="1" si="5"/>
        <v>0</v>
      </c>
      <c r="Z34" s="80">
        <f t="shared" ca="1" si="6"/>
        <v>0</v>
      </c>
      <c r="AA34" s="79" t="b">
        <f t="shared" ca="1" si="9"/>
        <v>0</v>
      </c>
      <c r="AB34" s="79"/>
      <c r="AC34" s="80">
        <f t="shared" ca="1" si="2"/>
        <v>0</v>
      </c>
      <c r="AD34" s="80">
        <f t="shared" ca="1" si="7"/>
        <v>0</v>
      </c>
      <c r="AE34" s="80"/>
      <c r="AF34" s="80"/>
      <c r="AG34" s="80"/>
      <c r="AH34" s="80"/>
      <c r="AI34" s="80"/>
      <c r="AJ34" s="79">
        <v>33</v>
      </c>
      <c r="AK34" s="79">
        <f t="shared" si="1"/>
        <v>35</v>
      </c>
      <c r="AL34" s="79">
        <f ca="1">SUMIF('Consolidated tables'!B:B,'Data inputs'!$T$11,INDIRECT("'Consolidated tables'!"&amp;VLOOKUP(AJ34,AO:AP,2,FALSE)&amp;":"&amp;VLOOKUP(AJ34,AO:AP,2,FALSE)))</f>
        <v>47.473774790763855</v>
      </c>
      <c r="AM34" s="80">
        <f ca="1">SUMIF('Consolidated tables'!B:B,'Data inputs'!$T$15,INDIRECT("'Consolidated tables'!"&amp;VLOOKUP(AJ34,AO:AP,2,FALSE)&amp;":"&amp;VLOOKUP(AJ34,AO:AP,2,FALSE)))</f>
        <v>0</v>
      </c>
      <c r="AN34" s="80">
        <f ca="1">SUMIF('Consolidated tables'!B:B,'Data inputs'!$T$16,INDIRECT("'Consolidated tables'!"&amp;VLOOKUP(AJ34,AO:AP,2,FALSE)&amp;":"&amp;VLOOKUP(AJ34,AO:AP,2,FALSE)))</f>
        <v>0</v>
      </c>
      <c r="AO34" s="79">
        <v>27</v>
      </c>
      <c r="AP34" s="79" t="s">
        <v>38</v>
      </c>
      <c r="AQ34" s="1"/>
    </row>
    <row r="35" spans="1:43">
      <c r="T35" s="79"/>
      <c r="U35" s="79"/>
      <c r="V35" s="80">
        <f t="shared" si="8"/>
        <v>17</v>
      </c>
      <c r="W35" s="80">
        <f t="shared" ca="1" si="3"/>
        <v>0</v>
      </c>
      <c r="X35" s="80">
        <f t="shared" ca="1" si="4"/>
        <v>0</v>
      </c>
      <c r="Y35" s="80">
        <f t="shared" ca="1" si="5"/>
        <v>0</v>
      </c>
      <c r="Z35" s="80">
        <f t="shared" ca="1" si="6"/>
        <v>0</v>
      </c>
      <c r="AA35" s="79" t="b">
        <f t="shared" ca="1" si="9"/>
        <v>0</v>
      </c>
      <c r="AB35" s="79"/>
      <c r="AC35" s="80">
        <f t="shared" ca="1" si="2"/>
        <v>0</v>
      </c>
      <c r="AD35" s="80">
        <f t="shared" ca="1" si="7"/>
        <v>0</v>
      </c>
      <c r="AE35" s="80"/>
      <c r="AF35" s="80"/>
      <c r="AG35" s="80"/>
      <c r="AH35" s="80"/>
      <c r="AI35" s="80"/>
      <c r="AJ35" s="79">
        <v>34</v>
      </c>
      <c r="AK35" s="79">
        <f t="shared" si="1"/>
        <v>35</v>
      </c>
      <c r="AL35" s="79">
        <f ca="1">SUMIF('Consolidated tables'!B:B,'Data inputs'!$T$11,INDIRECT("'Consolidated tables'!"&amp;VLOOKUP(AJ35,AO:AP,2,FALSE)&amp;":"&amp;VLOOKUP(AJ35,AO:AP,2,FALSE)))</f>
        <v>47.355718255043023</v>
      </c>
      <c r="AM35" s="80">
        <f ca="1">SUMIF('Consolidated tables'!B:B,'Data inputs'!$T$15,INDIRECT("'Consolidated tables'!"&amp;VLOOKUP(AJ35,AO:AP,2,FALSE)&amp;":"&amp;VLOOKUP(AJ35,AO:AP,2,FALSE)))</f>
        <v>0</v>
      </c>
      <c r="AN35" s="80">
        <f ca="1">SUMIF('Consolidated tables'!B:B,'Data inputs'!$T$16,INDIRECT("'Consolidated tables'!"&amp;VLOOKUP(AJ35,AO:AP,2,FALSE)&amp;":"&amp;VLOOKUP(AJ35,AO:AP,2,FALSE)))</f>
        <v>0</v>
      </c>
      <c r="AO35" s="79">
        <v>28</v>
      </c>
      <c r="AP35" s="79" t="s">
        <v>39</v>
      </c>
      <c r="AQ35" s="1"/>
    </row>
    <row r="36" spans="1:43">
      <c r="T36" s="79"/>
      <c r="U36" s="79"/>
      <c r="V36" s="80">
        <f t="shared" si="8"/>
        <v>18</v>
      </c>
      <c r="W36" s="80">
        <f t="shared" ca="1" si="3"/>
        <v>0</v>
      </c>
      <c r="X36" s="80">
        <f t="shared" ca="1" si="4"/>
        <v>0</v>
      </c>
      <c r="Y36" s="80">
        <f t="shared" ca="1" si="5"/>
        <v>0</v>
      </c>
      <c r="Z36" s="80">
        <f t="shared" ca="1" si="6"/>
        <v>0</v>
      </c>
      <c r="AA36" s="79" t="b">
        <f t="shared" ca="1" si="9"/>
        <v>0</v>
      </c>
      <c r="AB36" s="79"/>
      <c r="AC36" s="80">
        <f t="shared" ca="1" si="2"/>
        <v>0</v>
      </c>
      <c r="AD36" s="80">
        <f t="shared" ca="1" si="7"/>
        <v>0</v>
      </c>
      <c r="AE36" s="80"/>
      <c r="AF36" s="80"/>
      <c r="AG36" s="80"/>
      <c r="AH36" s="80"/>
      <c r="AI36" s="80"/>
      <c r="AJ36" s="79">
        <v>35</v>
      </c>
      <c r="AK36" s="79">
        <f t="shared" si="1"/>
        <v>35</v>
      </c>
      <c r="AL36" s="79">
        <f ca="1">SUMIF('Consolidated tables'!B:B,'Data inputs'!$T$11,INDIRECT("'Consolidated tables'!"&amp;VLOOKUP(AJ36,AO:AP,2,FALSE)&amp;":"&amp;VLOOKUP(AJ36,AO:AP,2,FALSE)))</f>
        <v>47.32592630386354</v>
      </c>
      <c r="AM36" s="80">
        <f ca="1">SUMIF('Consolidated tables'!B:B,'Data inputs'!$T$15,INDIRECT("'Consolidated tables'!"&amp;VLOOKUP(AJ36,AO:AP,2,FALSE)&amp;":"&amp;VLOOKUP(AJ36,AO:AP,2,FALSE)))</f>
        <v>0</v>
      </c>
      <c r="AN36" s="80">
        <f ca="1">SUMIF('Consolidated tables'!B:B,'Data inputs'!$T$16,INDIRECT("'Consolidated tables'!"&amp;VLOOKUP(AJ36,AO:AP,2,FALSE)&amp;":"&amp;VLOOKUP(AJ36,AO:AP,2,FALSE)))</f>
        <v>0</v>
      </c>
      <c r="AO36" s="79">
        <v>29</v>
      </c>
      <c r="AP36" s="79" t="s">
        <v>40</v>
      </c>
      <c r="AQ36" s="1"/>
    </row>
    <row r="37" spans="1:43">
      <c r="T37" s="79"/>
      <c r="U37" s="79"/>
      <c r="V37" s="80">
        <f t="shared" si="8"/>
        <v>19</v>
      </c>
      <c r="W37" s="80">
        <f t="shared" ca="1" si="3"/>
        <v>0</v>
      </c>
      <c r="X37" s="80">
        <f t="shared" ca="1" si="4"/>
        <v>0</v>
      </c>
      <c r="Y37" s="80">
        <f t="shared" ca="1" si="5"/>
        <v>0</v>
      </c>
      <c r="Z37" s="80">
        <f t="shared" ca="1" si="6"/>
        <v>0</v>
      </c>
      <c r="AA37" s="79" t="b">
        <f t="shared" ca="1" si="9"/>
        <v>0</v>
      </c>
      <c r="AB37" s="79"/>
      <c r="AC37" s="80">
        <f t="shared" ca="1" si="2"/>
        <v>0</v>
      </c>
      <c r="AD37" s="80">
        <f t="shared" ca="1" si="7"/>
        <v>0</v>
      </c>
      <c r="AE37" s="80"/>
      <c r="AF37" s="80"/>
      <c r="AG37" s="80"/>
      <c r="AH37" s="80"/>
      <c r="AI37" s="80"/>
      <c r="AJ37" s="79">
        <v>36</v>
      </c>
      <c r="AK37" s="79">
        <f t="shared" si="1"/>
        <v>40</v>
      </c>
      <c r="AL37" s="79">
        <f ca="1">SUMIF('Consolidated tables'!B:B,'Data inputs'!$T$11,INDIRECT("'Consolidated tables'!"&amp;VLOOKUP(AJ37,AO:AP,2,FALSE)&amp;":"&amp;VLOOKUP(AJ37,AO:AP,2,FALSE)))</f>
        <v>47.377234339714057</v>
      </c>
      <c r="AM37" s="80">
        <f ca="1">SUMIF('Consolidated tables'!B:B,'Data inputs'!$T$15,INDIRECT("'Consolidated tables'!"&amp;VLOOKUP(AJ37,AO:AP,2,FALSE)&amp;":"&amp;VLOOKUP(AJ37,AO:AP,2,FALSE)))</f>
        <v>0</v>
      </c>
      <c r="AN37" s="80">
        <f ca="1">SUMIF('Consolidated tables'!B:B,'Data inputs'!$T$16,INDIRECT("'Consolidated tables'!"&amp;VLOOKUP(AJ37,AO:AP,2,FALSE)&amp;":"&amp;VLOOKUP(AJ37,AO:AP,2,FALSE)))</f>
        <v>0</v>
      </c>
      <c r="AO37" s="79">
        <v>30</v>
      </c>
      <c r="AP37" s="79" t="s">
        <v>41</v>
      </c>
      <c r="AQ37" s="1"/>
    </row>
    <row r="38" spans="1:43" ht="24.95" customHeight="1">
      <c r="A38" s="32" t="s">
        <v>92</v>
      </c>
      <c r="D38" s="1"/>
      <c r="T38" s="79"/>
      <c r="U38" s="79"/>
      <c r="V38" s="80">
        <f t="shared" si="8"/>
        <v>20</v>
      </c>
      <c r="W38" s="80">
        <f t="shared" ca="1" si="3"/>
        <v>0</v>
      </c>
      <c r="X38" s="80">
        <f t="shared" ca="1" si="4"/>
        <v>0</v>
      </c>
      <c r="Y38" s="80">
        <f t="shared" ca="1" si="5"/>
        <v>0</v>
      </c>
      <c r="Z38" s="80">
        <f t="shared" ca="1" si="6"/>
        <v>0</v>
      </c>
      <c r="AA38" s="79" t="b">
        <f t="shared" ca="1" si="9"/>
        <v>0</v>
      </c>
      <c r="AB38" s="79"/>
      <c r="AC38" s="80">
        <f t="shared" ca="1" si="2"/>
        <v>0</v>
      </c>
      <c r="AD38" s="80">
        <f t="shared" ca="1" si="7"/>
        <v>0</v>
      </c>
      <c r="AE38" s="80"/>
      <c r="AF38" s="80"/>
      <c r="AG38" s="80"/>
      <c r="AH38" s="80"/>
      <c r="AI38" s="80"/>
      <c r="AJ38" s="79">
        <v>37</v>
      </c>
      <c r="AK38" s="79">
        <f t="shared" si="1"/>
        <v>40</v>
      </c>
      <c r="AL38" s="79">
        <f ca="1">SUMIF('Consolidated tables'!B:B,'Data inputs'!$T$11,INDIRECT("'Consolidated tables'!"&amp;VLOOKUP(AJ38,AO:AP,2,FALSE)&amp;":"&amp;VLOOKUP(AJ38,AO:AP,2,FALSE)))</f>
        <v>47.503078877925873</v>
      </c>
      <c r="AM38" s="80">
        <f ca="1">SUMIF('Consolidated tables'!B:B,'Data inputs'!$T$15,INDIRECT("'Consolidated tables'!"&amp;VLOOKUP(AJ38,AO:AP,2,FALSE)&amp;":"&amp;VLOOKUP(AJ38,AO:AP,2,FALSE)))</f>
        <v>0</v>
      </c>
      <c r="AN38" s="80">
        <f ca="1">SUMIF('Consolidated tables'!B:B,'Data inputs'!$T$16,INDIRECT("'Consolidated tables'!"&amp;VLOOKUP(AJ38,AO:AP,2,FALSE)&amp;":"&amp;VLOOKUP(AJ38,AO:AP,2,FALSE)))</f>
        <v>0</v>
      </c>
      <c r="AO38" s="79">
        <v>31</v>
      </c>
      <c r="AP38" s="79" t="s">
        <v>42</v>
      </c>
      <c r="AQ38" s="1"/>
    </row>
    <row r="39" spans="1:43" ht="24.95" customHeight="1" thickBot="1">
      <c r="D39" s="11"/>
      <c r="T39" s="79"/>
      <c r="U39" s="79"/>
      <c r="V39" s="80">
        <f t="shared" si="8"/>
        <v>21</v>
      </c>
      <c r="W39" s="80">
        <f t="shared" ca="1" si="3"/>
        <v>0</v>
      </c>
      <c r="X39" s="80">
        <f t="shared" ca="1" si="4"/>
        <v>0</v>
      </c>
      <c r="Y39" s="80">
        <f t="shared" ca="1" si="5"/>
        <v>0</v>
      </c>
      <c r="Z39" s="80">
        <f t="shared" ca="1" si="6"/>
        <v>0</v>
      </c>
      <c r="AA39" s="79" t="b">
        <f t="shared" ca="1" si="9"/>
        <v>0</v>
      </c>
      <c r="AB39" s="79"/>
      <c r="AC39" s="80">
        <f t="shared" ca="1" si="2"/>
        <v>0</v>
      </c>
      <c r="AD39" s="80">
        <f t="shared" ca="1" si="7"/>
        <v>0</v>
      </c>
      <c r="AE39" s="80"/>
      <c r="AF39" s="80"/>
      <c r="AG39" s="80"/>
      <c r="AH39" s="80"/>
      <c r="AI39" s="80"/>
      <c r="AJ39" s="79">
        <v>38</v>
      </c>
      <c r="AK39" s="79">
        <f t="shared" si="1"/>
        <v>40</v>
      </c>
      <c r="AL39" s="79">
        <f ca="1">SUMIF('Consolidated tables'!B:B,'Data inputs'!$T$11,INDIRECT("'Consolidated tables'!"&amp;VLOOKUP(AJ39,AO:AP,2,FALSE)&amp;":"&amp;VLOOKUP(AJ39,AO:AP,2,FALSE)))</f>
        <v>47.697445631027215</v>
      </c>
      <c r="AM39" s="80">
        <f ca="1">SUMIF('Consolidated tables'!B:B,'Data inputs'!$T$15,INDIRECT("'Consolidated tables'!"&amp;VLOOKUP(AJ39,AO:AP,2,FALSE)&amp;":"&amp;VLOOKUP(AJ39,AO:AP,2,FALSE)))</f>
        <v>0</v>
      </c>
      <c r="AN39" s="80">
        <f ca="1">SUMIF('Consolidated tables'!B:B,'Data inputs'!$T$16,INDIRECT("'Consolidated tables'!"&amp;VLOOKUP(AJ39,AO:AP,2,FALSE)&amp;":"&amp;VLOOKUP(AJ39,AO:AP,2,FALSE)))</f>
        <v>0</v>
      </c>
      <c r="AO39" s="79">
        <v>32</v>
      </c>
      <c r="AP39" s="79" t="s">
        <v>43</v>
      </c>
      <c r="AQ39" s="1"/>
    </row>
    <row r="40" spans="1:43" ht="24.95" customHeight="1" thickBot="1">
      <c r="A40" s="37" t="s">
        <v>100</v>
      </c>
      <c r="B40" s="71" t="s">
        <v>5</v>
      </c>
      <c r="C40" s="36"/>
      <c r="D40" s="72">
        <f>D7-D5</f>
        <v>0</v>
      </c>
      <c r="E40" s="36" t="s">
        <v>69</v>
      </c>
      <c r="H40" s="2"/>
      <c r="I40" s="2"/>
      <c r="J40" s="2"/>
      <c r="K40" s="2"/>
      <c r="L40" s="2"/>
      <c r="M40" s="2"/>
      <c r="N40" s="2"/>
      <c r="O40" s="2"/>
      <c r="P40" s="2"/>
      <c r="T40" s="79"/>
      <c r="U40" s="79"/>
      <c r="V40" s="80">
        <f t="shared" si="8"/>
        <v>22</v>
      </c>
      <c r="W40" s="80">
        <f t="shared" ca="1" si="3"/>
        <v>0</v>
      </c>
      <c r="X40" s="80">
        <f t="shared" ca="1" si="4"/>
        <v>0</v>
      </c>
      <c r="Y40" s="80">
        <f t="shared" ca="1" si="5"/>
        <v>0</v>
      </c>
      <c r="Z40" s="80">
        <f t="shared" ca="1" si="6"/>
        <v>0</v>
      </c>
      <c r="AA40" s="79" t="b">
        <f t="shared" ca="1" si="9"/>
        <v>0</v>
      </c>
      <c r="AB40" s="79"/>
      <c r="AC40" s="80">
        <f t="shared" ca="1" si="2"/>
        <v>0</v>
      </c>
      <c r="AD40" s="80">
        <f t="shared" ca="1" si="7"/>
        <v>0</v>
      </c>
      <c r="AE40" s="80"/>
      <c r="AF40" s="80"/>
      <c r="AG40" s="80"/>
      <c r="AH40" s="80"/>
      <c r="AI40" s="80"/>
      <c r="AJ40" s="79">
        <v>39</v>
      </c>
      <c r="AK40" s="79">
        <f t="shared" si="1"/>
        <v>40</v>
      </c>
      <c r="AL40" s="79">
        <f ca="1">SUMIF('Consolidated tables'!B:B,'Data inputs'!$T$11,INDIRECT("'Consolidated tables'!"&amp;VLOOKUP(AJ40,AO:AP,2,FALSE)&amp;":"&amp;VLOOKUP(AJ40,AO:AP,2,FALSE)))</f>
        <v>47.954821586608894</v>
      </c>
      <c r="AM40" s="80">
        <f ca="1">SUMIF('Consolidated tables'!B:B,'Data inputs'!$T$15,INDIRECT("'Consolidated tables'!"&amp;VLOOKUP(AJ40,AO:AP,2,FALSE)&amp;":"&amp;VLOOKUP(AJ40,AO:AP,2,FALSE)))</f>
        <v>0</v>
      </c>
      <c r="AN40" s="80">
        <f ca="1">SUMIF('Consolidated tables'!B:B,'Data inputs'!$T$16,INDIRECT("'Consolidated tables'!"&amp;VLOOKUP(AJ40,AO:AP,2,FALSE)&amp;":"&amp;VLOOKUP(AJ40,AO:AP,2,FALSE)))</f>
        <v>0</v>
      </c>
      <c r="AO40" s="79">
        <v>33</v>
      </c>
      <c r="AP40" s="79" t="s">
        <v>44</v>
      </c>
      <c r="AQ40" s="1"/>
    </row>
    <row r="41" spans="1:43" ht="24.95" customHeight="1" thickBot="1">
      <c r="A41" s="36"/>
      <c r="B41" s="36"/>
      <c r="C41" s="36"/>
      <c r="D41" s="35"/>
      <c r="E41" s="36"/>
      <c r="H41" s="2"/>
      <c r="I41" s="2"/>
      <c r="J41" s="2"/>
      <c r="K41" s="2"/>
      <c r="L41" s="2"/>
      <c r="M41" s="2"/>
      <c r="N41" s="2"/>
      <c r="O41" s="2"/>
      <c r="P41" s="2"/>
      <c r="T41" s="79"/>
      <c r="U41" s="79"/>
      <c r="V41" s="80">
        <f t="shared" si="8"/>
        <v>23</v>
      </c>
      <c r="W41" s="80">
        <f t="shared" ca="1" si="3"/>
        <v>0</v>
      </c>
      <c r="X41" s="80">
        <f t="shared" ca="1" si="4"/>
        <v>0</v>
      </c>
      <c r="Y41" s="80">
        <f t="shared" ca="1" si="5"/>
        <v>0</v>
      </c>
      <c r="Z41" s="80">
        <f t="shared" ca="1" si="6"/>
        <v>0</v>
      </c>
      <c r="AA41" s="79" t="b">
        <f t="shared" ca="1" si="9"/>
        <v>0</v>
      </c>
      <c r="AB41" s="79"/>
      <c r="AC41" s="80">
        <f t="shared" ca="1" si="2"/>
        <v>0</v>
      </c>
      <c r="AD41" s="80">
        <f t="shared" ca="1" si="7"/>
        <v>0</v>
      </c>
      <c r="AE41" s="80"/>
      <c r="AF41" s="80"/>
      <c r="AG41" s="80"/>
      <c r="AH41" s="80"/>
      <c r="AI41" s="80"/>
      <c r="AJ41" s="79">
        <v>40</v>
      </c>
      <c r="AK41" s="79">
        <f t="shared" si="1"/>
        <v>40</v>
      </c>
      <c r="AL41" s="79">
        <f ca="1">SUMIF('Consolidated tables'!B:B,'Data inputs'!$T$11,INDIRECT("'Consolidated tables'!"&amp;VLOOKUP(AJ41,AO:AP,2,FALSE)&amp;":"&amp;VLOOKUP(AJ41,AO:AP,2,FALSE)))</f>
        <v>48.270152151584625</v>
      </c>
      <c r="AM41" s="80">
        <f ca="1">SUMIF('Consolidated tables'!B:B,'Data inputs'!$T$15,INDIRECT("'Consolidated tables'!"&amp;VLOOKUP(AJ41,AO:AP,2,FALSE)&amp;":"&amp;VLOOKUP(AJ41,AO:AP,2,FALSE)))</f>
        <v>0</v>
      </c>
      <c r="AN41" s="80">
        <f ca="1">SUMIF('Consolidated tables'!B:B,'Data inputs'!$T$16,INDIRECT("'Consolidated tables'!"&amp;VLOOKUP(AJ41,AO:AP,2,FALSE)&amp;":"&amp;VLOOKUP(AJ41,AO:AP,2,FALSE)))</f>
        <v>0</v>
      </c>
      <c r="AO41" s="79">
        <v>34</v>
      </c>
      <c r="AP41" s="79" t="s">
        <v>45</v>
      </c>
      <c r="AQ41" s="1"/>
    </row>
    <row r="42" spans="1:43" ht="24.95" customHeight="1" thickBot="1">
      <c r="A42" s="37" t="s">
        <v>101</v>
      </c>
      <c r="B42" s="71" t="s">
        <v>73</v>
      </c>
      <c r="C42" s="36"/>
      <c r="D42" s="72" t="e">
        <f ca="1">VLOOKUP(D3,V:W,2,FALSE)</f>
        <v>#N/A</v>
      </c>
      <c r="E42" s="36" t="s">
        <v>105</v>
      </c>
      <c r="F42" s="52"/>
      <c r="G42" s="50"/>
      <c r="H42" s="51"/>
      <c r="I42" s="13"/>
      <c r="J42" s="13"/>
      <c r="K42" s="13"/>
      <c r="L42" s="13"/>
      <c r="M42" s="13"/>
      <c r="N42" s="13"/>
      <c r="O42" s="13"/>
      <c r="P42" s="13"/>
      <c r="T42" s="79"/>
      <c r="U42" s="79"/>
      <c r="V42" s="80">
        <f t="shared" si="8"/>
        <v>24</v>
      </c>
      <c r="W42" s="80">
        <f t="shared" ca="1" si="3"/>
        <v>0</v>
      </c>
      <c r="X42" s="80">
        <f t="shared" ca="1" si="4"/>
        <v>0</v>
      </c>
      <c r="Y42" s="80">
        <f t="shared" ca="1" si="5"/>
        <v>0</v>
      </c>
      <c r="Z42" s="80">
        <f t="shared" ca="1" si="6"/>
        <v>0</v>
      </c>
      <c r="AA42" s="79" t="b">
        <f t="shared" ca="1" si="9"/>
        <v>0</v>
      </c>
      <c r="AB42" s="79"/>
      <c r="AC42" s="80">
        <f t="shared" ca="1" si="2"/>
        <v>0</v>
      </c>
      <c r="AD42" s="80">
        <f t="shared" ca="1" si="7"/>
        <v>0</v>
      </c>
      <c r="AE42" s="80"/>
      <c r="AF42" s="80"/>
      <c r="AG42" s="80"/>
      <c r="AH42" s="80"/>
      <c r="AI42" s="80"/>
      <c r="AJ42" s="79">
        <v>41</v>
      </c>
      <c r="AK42" s="79">
        <f t="shared" si="1"/>
        <v>45</v>
      </c>
      <c r="AL42" s="79">
        <f ca="1">SUMIF('Consolidated tables'!B:B,'Data inputs'!$T$11,INDIRECT("'Consolidated tables'!"&amp;VLOOKUP(AJ42,AO:AP,2,FALSE)&amp;":"&amp;VLOOKUP(AJ42,AO:AP,2,FALSE)))</f>
        <v>48.638801038265228</v>
      </c>
      <c r="AM42" s="80">
        <f ca="1">SUMIF('Consolidated tables'!B:B,'Data inputs'!$T$15,INDIRECT("'Consolidated tables'!"&amp;VLOOKUP(AJ42,AO:AP,2,FALSE)&amp;":"&amp;VLOOKUP(AJ42,AO:AP,2,FALSE)))</f>
        <v>0</v>
      </c>
      <c r="AN42" s="80">
        <f ca="1">SUMIF('Consolidated tables'!B:B,'Data inputs'!$T$16,INDIRECT("'Consolidated tables'!"&amp;VLOOKUP(AJ42,AO:AP,2,FALSE)&amp;":"&amp;VLOOKUP(AJ42,AO:AP,2,FALSE)))</f>
        <v>0</v>
      </c>
      <c r="AO42" s="79">
        <v>35</v>
      </c>
      <c r="AP42" s="79" t="s">
        <v>46</v>
      </c>
      <c r="AQ42" s="1"/>
    </row>
    <row r="43" spans="1:43" s="20" customFormat="1" ht="24.95" customHeight="1">
      <c r="A43" s="45"/>
      <c r="B43" s="46"/>
      <c r="D43" s="47"/>
      <c r="F43" s="48"/>
      <c r="H43" s="49"/>
      <c r="I43" s="49"/>
      <c r="J43" s="49"/>
      <c r="K43" s="49"/>
      <c r="L43" s="49"/>
      <c r="M43" s="49"/>
      <c r="N43" s="49"/>
      <c r="O43" s="49"/>
      <c r="P43" s="49"/>
      <c r="T43" s="79"/>
      <c r="U43" s="79"/>
      <c r="V43" s="80">
        <f t="shared" ref="V43:V67" si="10">V42+1</f>
        <v>25</v>
      </c>
      <c r="W43" s="80">
        <f t="shared" ref="W43:W58" ca="1" si="11">AL27*$D$9</f>
        <v>0</v>
      </c>
      <c r="X43" s="80">
        <f t="shared" ca="1" si="4"/>
        <v>0</v>
      </c>
      <c r="Y43" s="80">
        <f t="shared" ca="1" si="5"/>
        <v>0</v>
      </c>
      <c r="Z43" s="80">
        <f t="shared" ref="Z43:Z67" ca="1" si="12">IF(V43=$D$3,1,0)</f>
        <v>0</v>
      </c>
      <c r="AA43" s="79" t="b">
        <f t="shared" ref="AA43:AA67" ca="1" si="13">IF(Z43=1,TRUE,IF(AA42=TRUE,TRUE,FALSE))</f>
        <v>0</v>
      </c>
      <c r="AB43" s="79"/>
      <c r="AC43" s="80">
        <f t="shared" ref="AC43:AC58" ca="1" si="14">AM27*$D$9</f>
        <v>0</v>
      </c>
      <c r="AD43" s="80">
        <f t="shared" ref="AD43:AD67" ca="1" si="15">IF(AA43=TRUE,AC43,0)</f>
        <v>0</v>
      </c>
      <c r="AE43" s="80"/>
      <c r="AF43" s="80"/>
      <c r="AG43" s="80"/>
      <c r="AH43" s="80"/>
      <c r="AI43" s="80"/>
      <c r="AJ43" s="79">
        <v>42</v>
      </c>
      <c r="AK43" s="79">
        <f t="shared" ref="AK43:AK51" si="16">AK38+5</f>
        <v>45</v>
      </c>
      <c r="AL43" s="79">
        <f ca="1">SUMIF('Consolidated tables'!B:B,'Data inputs'!$T$11,INDIRECT("'Consolidated tables'!"&amp;VLOOKUP(AJ43,AO:AP,2,FALSE)&amp;":"&amp;VLOOKUP(AJ43,AO:AP,2,FALSE)))</f>
        <v>49.056514084339142</v>
      </c>
      <c r="AM43" s="80">
        <f ca="1">SUMIF('Consolidated tables'!B:B,'Data inputs'!$T$15,INDIRECT("'Consolidated tables'!"&amp;VLOOKUP(AJ43,AO:AP,2,FALSE)&amp;":"&amp;VLOOKUP(AJ43,AO:AP,2,FALSE)))</f>
        <v>0</v>
      </c>
      <c r="AN43" s="80">
        <f ca="1">SUMIF('Consolidated tables'!B:B,'Data inputs'!$T$16,INDIRECT("'Consolidated tables'!"&amp;VLOOKUP(AJ43,AO:AP,2,FALSE)&amp;":"&amp;VLOOKUP(AJ43,AO:AP,2,FALSE)))</f>
        <v>0</v>
      </c>
      <c r="AO43" s="79">
        <v>36</v>
      </c>
      <c r="AP43" s="79" t="s">
        <v>47</v>
      </c>
      <c r="AQ43" s="12"/>
    </row>
    <row r="44" spans="1:43" s="20" customFormat="1" ht="24.95" customHeight="1">
      <c r="A44" s="32" t="s">
        <v>108</v>
      </c>
      <c r="B44" s="14"/>
      <c r="C44"/>
      <c r="D44" s="14"/>
      <c r="E44" s="14"/>
      <c r="F44" s="14"/>
      <c r="G44"/>
      <c r="H44" s="13"/>
      <c r="I44" s="49"/>
      <c r="J44" s="49"/>
      <c r="K44" s="49"/>
      <c r="L44" s="49"/>
      <c r="M44" s="49"/>
      <c r="N44" s="49"/>
      <c r="O44" s="49"/>
      <c r="P44" s="49"/>
      <c r="T44" s="79"/>
      <c r="U44" s="79"/>
      <c r="V44" s="80">
        <f t="shared" si="10"/>
        <v>26</v>
      </c>
      <c r="W44" s="80">
        <f t="shared" ca="1" si="11"/>
        <v>0</v>
      </c>
      <c r="X44" s="80">
        <f t="shared" ca="1" si="4"/>
        <v>0</v>
      </c>
      <c r="Y44" s="80">
        <f t="shared" ca="1" si="5"/>
        <v>0</v>
      </c>
      <c r="Z44" s="80">
        <f t="shared" ca="1" si="12"/>
        <v>0</v>
      </c>
      <c r="AA44" s="79" t="b">
        <f t="shared" ca="1" si="13"/>
        <v>0</v>
      </c>
      <c r="AB44" s="79"/>
      <c r="AC44" s="80">
        <f t="shared" ca="1" si="14"/>
        <v>0</v>
      </c>
      <c r="AD44" s="80">
        <f t="shared" ca="1" si="15"/>
        <v>0</v>
      </c>
      <c r="AE44" s="80"/>
      <c r="AF44" s="80"/>
      <c r="AG44" s="80"/>
      <c r="AH44" s="80"/>
      <c r="AI44" s="80"/>
      <c r="AJ44" s="79">
        <v>43</v>
      </c>
      <c r="AK44" s="79">
        <f t="shared" si="16"/>
        <v>45</v>
      </c>
      <c r="AL44" s="79">
        <f ca="1">SUMIF('Consolidated tables'!B:B,'Data inputs'!$T$11,INDIRECT("'Consolidated tables'!"&amp;VLOOKUP(AJ44,AO:AP,2,FALSE)&amp;":"&amp;VLOOKUP(AJ44,AO:AP,2,FALSE)))</f>
        <v>49.519387483596809</v>
      </c>
      <c r="AM44" s="80">
        <f ca="1">SUMIF('Consolidated tables'!B:B,'Data inputs'!$T$15,INDIRECT("'Consolidated tables'!"&amp;VLOOKUP(AJ44,AO:AP,2,FALSE)&amp;":"&amp;VLOOKUP(AJ44,AO:AP,2,FALSE)))</f>
        <v>0</v>
      </c>
      <c r="AN44" s="80">
        <f ca="1">SUMIF('Consolidated tables'!B:B,'Data inputs'!$T$16,INDIRECT("'Consolidated tables'!"&amp;VLOOKUP(AJ44,AO:AP,2,FALSE)&amp;":"&amp;VLOOKUP(AJ44,AO:AP,2,FALSE)))</f>
        <v>0</v>
      </c>
      <c r="AO44" s="79">
        <v>37</v>
      </c>
      <c r="AP44" s="79" t="s">
        <v>48</v>
      </c>
      <c r="AQ44" s="12"/>
    </row>
    <row r="45" spans="1:43" ht="24.95" customHeight="1" thickBot="1">
      <c r="A45" s="38"/>
      <c r="D45" s="11"/>
      <c r="H45" s="2"/>
      <c r="I45" s="2"/>
      <c r="J45" s="2"/>
      <c r="K45" s="2"/>
      <c r="L45" s="2"/>
      <c r="M45" s="2"/>
      <c r="N45" s="2"/>
      <c r="O45" s="2"/>
      <c r="P45" s="2"/>
      <c r="T45" s="79"/>
      <c r="U45" s="79"/>
      <c r="V45" s="80">
        <f t="shared" si="10"/>
        <v>27</v>
      </c>
      <c r="W45" s="80">
        <f t="shared" ca="1" si="11"/>
        <v>0</v>
      </c>
      <c r="X45" s="80">
        <f t="shared" ca="1" si="4"/>
        <v>0</v>
      </c>
      <c r="Y45" s="80">
        <f t="shared" ca="1" si="5"/>
        <v>0</v>
      </c>
      <c r="Z45" s="80">
        <f t="shared" ca="1" si="12"/>
        <v>0</v>
      </c>
      <c r="AA45" s="79" t="b">
        <f t="shared" ca="1" si="13"/>
        <v>0</v>
      </c>
      <c r="AB45" s="79"/>
      <c r="AC45" s="80">
        <f t="shared" ca="1" si="14"/>
        <v>0</v>
      </c>
      <c r="AD45" s="80">
        <f t="shared" ca="1" si="15"/>
        <v>0</v>
      </c>
      <c r="AE45" s="80"/>
      <c r="AF45" s="80"/>
      <c r="AG45" s="80"/>
      <c r="AH45" s="80"/>
      <c r="AI45" s="80"/>
      <c r="AJ45" s="79">
        <v>44</v>
      </c>
      <c r="AK45" s="79">
        <f t="shared" si="16"/>
        <v>45</v>
      </c>
      <c r="AL45" s="79">
        <f ca="1">SUMIF('Consolidated tables'!B:B,'Data inputs'!$T$11,INDIRECT("'Consolidated tables'!"&amp;VLOOKUP(AJ45,AO:AP,2,FALSE)&amp;":"&amp;VLOOKUP(AJ45,AO:AP,2,FALSE)))</f>
        <v>50.023837566375732</v>
      </c>
      <c r="AM45" s="80">
        <f ca="1">SUMIF('Consolidated tables'!B:B,'Data inputs'!$T$15,INDIRECT("'Consolidated tables'!"&amp;VLOOKUP(AJ45,AO:AP,2,FALSE)&amp;":"&amp;VLOOKUP(AJ45,AO:AP,2,FALSE)))</f>
        <v>0</v>
      </c>
      <c r="AN45" s="80">
        <f ca="1">SUMIF('Consolidated tables'!B:B,'Data inputs'!$T$16,INDIRECT("'Consolidated tables'!"&amp;VLOOKUP(AJ45,AO:AP,2,FALSE)&amp;":"&amp;VLOOKUP(AJ45,AO:AP,2,FALSE)))</f>
        <v>0</v>
      </c>
      <c r="AO45" s="79">
        <v>38</v>
      </c>
      <c r="AP45" s="79" t="s">
        <v>49</v>
      </c>
      <c r="AQ45" s="1"/>
    </row>
    <row r="46" spans="1:43" ht="24.95" customHeight="1" thickBot="1">
      <c r="A46" s="37" t="s">
        <v>111</v>
      </c>
      <c r="B46" s="71" t="s">
        <v>106</v>
      </c>
      <c r="C46" s="36"/>
      <c r="D46" s="73" t="e">
        <f ca="1">VLOOKUP(D3,V$3:AI$1048576,8,FALSE)</f>
        <v>#N/A</v>
      </c>
      <c r="E46" s="36" t="s">
        <v>103</v>
      </c>
      <c r="H46" s="2"/>
      <c r="I46" s="2"/>
      <c r="J46" s="2"/>
      <c r="K46" s="2"/>
      <c r="L46" s="2"/>
      <c r="M46" s="2"/>
      <c r="N46" s="2"/>
      <c r="O46" s="2"/>
      <c r="P46" s="2"/>
      <c r="T46" s="79"/>
      <c r="U46" s="79"/>
      <c r="V46" s="80">
        <f t="shared" si="10"/>
        <v>28</v>
      </c>
      <c r="W46" s="80">
        <f t="shared" ca="1" si="11"/>
        <v>0</v>
      </c>
      <c r="X46" s="80">
        <f t="shared" ca="1" si="4"/>
        <v>0</v>
      </c>
      <c r="Y46" s="80">
        <f t="shared" ca="1" si="5"/>
        <v>0</v>
      </c>
      <c r="Z46" s="80">
        <f t="shared" ca="1" si="12"/>
        <v>0</v>
      </c>
      <c r="AA46" s="79" t="b">
        <f t="shared" ca="1" si="13"/>
        <v>0</v>
      </c>
      <c r="AB46" s="79"/>
      <c r="AC46" s="80">
        <f t="shared" ca="1" si="14"/>
        <v>0</v>
      </c>
      <c r="AD46" s="80">
        <f t="shared" ca="1" si="15"/>
        <v>0</v>
      </c>
      <c r="AE46" s="80"/>
      <c r="AF46" s="80"/>
      <c r="AG46" s="80"/>
      <c r="AH46" s="80"/>
      <c r="AI46" s="80"/>
      <c r="AJ46" s="79">
        <v>45</v>
      </c>
      <c r="AK46" s="79">
        <f t="shared" si="16"/>
        <v>45</v>
      </c>
      <c r="AL46" s="79">
        <f ca="1">SUMIF('Consolidated tables'!B:B,'Data inputs'!$T$11,INDIRECT("'Consolidated tables'!"&amp;VLOOKUP(AJ46,AO:AP,2,FALSE)&amp;":"&amp;VLOOKUP(AJ46,AO:AP,2,FALSE)))</f>
        <v>50.566573143005364</v>
      </c>
      <c r="AM46" s="80">
        <f ca="1">SUMIF('Consolidated tables'!B:B,'Data inputs'!$T$15,INDIRECT("'Consolidated tables'!"&amp;VLOOKUP(AJ46,AO:AP,2,FALSE)&amp;":"&amp;VLOOKUP(AJ46,AO:AP,2,FALSE)))</f>
        <v>0</v>
      </c>
      <c r="AN46" s="80">
        <f ca="1">SUMIF('Consolidated tables'!B:B,'Data inputs'!$T$16,INDIRECT("'Consolidated tables'!"&amp;VLOOKUP(AJ46,AO:AP,2,FALSE)&amp;":"&amp;VLOOKUP(AJ46,AO:AP,2,FALSE)))</f>
        <v>0</v>
      </c>
      <c r="AO46" s="79">
        <v>39</v>
      </c>
      <c r="AP46" s="79" t="s">
        <v>50</v>
      </c>
      <c r="AQ46" s="1"/>
    </row>
    <row r="47" spans="1:43" ht="24.95" customHeight="1" thickBot="1">
      <c r="A47" s="36"/>
      <c r="B47" s="37"/>
      <c r="C47" s="36"/>
      <c r="D47" s="74"/>
      <c r="E47" s="36"/>
      <c r="H47" s="2"/>
      <c r="I47" s="2"/>
      <c r="J47" s="2"/>
      <c r="K47" s="2"/>
      <c r="L47" s="2"/>
      <c r="M47" s="2"/>
      <c r="N47" s="2"/>
      <c r="O47" s="2"/>
      <c r="P47" s="2"/>
      <c r="T47" s="79"/>
      <c r="U47" s="79"/>
      <c r="V47" s="80">
        <f t="shared" si="10"/>
        <v>29</v>
      </c>
      <c r="W47" s="80">
        <f t="shared" ca="1" si="11"/>
        <v>0</v>
      </c>
      <c r="X47" s="80">
        <f t="shared" ca="1" si="4"/>
        <v>0</v>
      </c>
      <c r="Y47" s="80">
        <f t="shared" ca="1" si="5"/>
        <v>0</v>
      </c>
      <c r="Z47" s="80">
        <f t="shared" ca="1" si="12"/>
        <v>0</v>
      </c>
      <c r="AA47" s="79" t="b">
        <f t="shared" ca="1" si="13"/>
        <v>0</v>
      </c>
      <c r="AB47" s="79"/>
      <c r="AC47" s="80">
        <f t="shared" ca="1" si="14"/>
        <v>0</v>
      </c>
      <c r="AD47" s="80">
        <f t="shared" ca="1" si="15"/>
        <v>0</v>
      </c>
      <c r="AE47" s="80"/>
      <c r="AF47" s="80"/>
      <c r="AG47" s="80"/>
      <c r="AH47" s="80"/>
      <c r="AI47" s="80"/>
      <c r="AJ47" s="79">
        <v>46</v>
      </c>
      <c r="AK47" s="79">
        <f t="shared" si="16"/>
        <v>50</v>
      </c>
      <c r="AL47" s="79">
        <f ca="1">SUMIF('Consolidated tables'!B:B,'Data inputs'!$T$11,INDIRECT("'Consolidated tables'!"&amp;VLOOKUP(AJ47,AO:AP,2,FALSE)&amp;":"&amp;VLOOKUP(AJ47,AO:AP,2,FALSE)))</f>
        <v>51.144571214914322</v>
      </c>
      <c r="AM47" s="80">
        <f ca="1">SUMIF('Consolidated tables'!B:B,'Data inputs'!$T$15,INDIRECT("'Consolidated tables'!"&amp;VLOOKUP(AJ47,AO:AP,2,FALSE)&amp;":"&amp;VLOOKUP(AJ47,AO:AP,2,FALSE)))</f>
        <v>0</v>
      </c>
      <c r="AN47" s="80">
        <f ca="1">SUMIF('Consolidated tables'!B:B,'Data inputs'!$T$16,INDIRECT("'Consolidated tables'!"&amp;VLOOKUP(AJ47,AO:AP,2,FALSE)&amp;":"&amp;VLOOKUP(AJ47,AO:AP,2,FALSE)))</f>
        <v>0</v>
      </c>
      <c r="AO47" s="79">
        <v>40</v>
      </c>
      <c r="AP47" s="79" t="s">
        <v>51</v>
      </c>
      <c r="AQ47" s="1"/>
    </row>
    <row r="48" spans="1:43" ht="24.75" customHeight="1" thickTop="1" thickBot="1">
      <c r="A48" s="37" t="s">
        <v>113</v>
      </c>
      <c r="B48" s="75" t="s">
        <v>91</v>
      </c>
      <c r="C48" s="76">
        <f>D7+49</f>
        <v>49</v>
      </c>
      <c r="D48" s="77">
        <f ca="1">SUM(AD18:AD67)</f>
        <v>0</v>
      </c>
      <c r="E48" s="36" t="s">
        <v>103</v>
      </c>
      <c r="T48" s="79"/>
      <c r="U48" s="79"/>
      <c r="V48" s="80">
        <f t="shared" si="10"/>
        <v>30</v>
      </c>
      <c r="W48" s="80">
        <f t="shared" ca="1" si="11"/>
        <v>0</v>
      </c>
      <c r="X48" s="80">
        <f t="shared" ca="1" si="4"/>
        <v>0</v>
      </c>
      <c r="Y48" s="80">
        <f t="shared" ca="1" si="5"/>
        <v>0</v>
      </c>
      <c r="Z48" s="80">
        <f t="shared" ca="1" si="12"/>
        <v>0</v>
      </c>
      <c r="AA48" s="79" t="b">
        <f t="shared" ca="1" si="13"/>
        <v>0</v>
      </c>
      <c r="AB48" s="79"/>
      <c r="AC48" s="80">
        <f t="shared" ca="1" si="14"/>
        <v>0</v>
      </c>
      <c r="AD48" s="80">
        <f t="shared" ca="1" si="15"/>
        <v>0</v>
      </c>
      <c r="AE48" s="80"/>
      <c r="AF48" s="80"/>
      <c r="AG48" s="80"/>
      <c r="AH48" s="80"/>
      <c r="AI48" s="80"/>
      <c r="AJ48" s="79">
        <v>47</v>
      </c>
      <c r="AK48" s="79">
        <f t="shared" si="16"/>
        <v>50</v>
      </c>
      <c r="AL48" s="79">
        <f ca="1">SUMIF('Consolidated tables'!B:B,'Data inputs'!$T$11,INDIRECT("'Consolidated tables'!"&amp;VLOOKUP(AJ48,AO:AP,2,FALSE)&amp;":"&amp;VLOOKUP(AJ48,AO:AP,2,FALSE)))</f>
        <v>51.755054026842117</v>
      </c>
      <c r="AM48" s="80">
        <f ca="1">SUMIF('Consolidated tables'!B:B,'Data inputs'!$T$15,INDIRECT("'Consolidated tables'!"&amp;VLOOKUP(AJ48,AO:AP,2,FALSE)&amp;":"&amp;VLOOKUP(AJ48,AO:AP,2,FALSE)))</f>
        <v>0</v>
      </c>
      <c r="AN48" s="80">
        <f ca="1">SUMIF('Consolidated tables'!B:B,'Data inputs'!$T$16,INDIRECT("'Consolidated tables'!"&amp;VLOOKUP(AJ48,AO:AP,2,FALSE)&amp;":"&amp;VLOOKUP(AJ48,AO:AP,2,FALSE)))</f>
        <v>0</v>
      </c>
      <c r="AO48" s="79">
        <v>41</v>
      </c>
      <c r="AP48" s="79" t="s">
        <v>52</v>
      </c>
      <c r="AQ48" s="1"/>
    </row>
    <row r="49" spans="4:43">
      <c r="T49" s="79"/>
      <c r="U49" s="79"/>
      <c r="V49" s="80">
        <f t="shared" si="10"/>
        <v>31</v>
      </c>
      <c r="W49" s="80">
        <f t="shared" ca="1" si="11"/>
        <v>0</v>
      </c>
      <c r="X49" s="80">
        <f t="shared" ca="1" si="4"/>
        <v>0</v>
      </c>
      <c r="Y49" s="80">
        <f t="shared" ca="1" si="5"/>
        <v>0</v>
      </c>
      <c r="Z49" s="80">
        <f t="shared" ca="1" si="12"/>
        <v>0</v>
      </c>
      <c r="AA49" s="79" t="b">
        <f t="shared" ca="1" si="13"/>
        <v>0</v>
      </c>
      <c r="AB49" s="79"/>
      <c r="AC49" s="80">
        <f t="shared" ca="1" si="14"/>
        <v>0</v>
      </c>
      <c r="AD49" s="80">
        <f t="shared" ca="1" si="15"/>
        <v>0</v>
      </c>
      <c r="AE49" s="80"/>
      <c r="AF49" s="80"/>
      <c r="AG49" s="80"/>
      <c r="AH49" s="80"/>
      <c r="AI49" s="80"/>
      <c r="AJ49" s="79">
        <v>48</v>
      </c>
      <c r="AK49" s="79">
        <f t="shared" si="16"/>
        <v>50</v>
      </c>
      <c r="AL49" s="79">
        <f ca="1">SUMIF('Consolidated tables'!B:B,'Data inputs'!$T$11,INDIRECT("'Consolidated tables'!"&amp;VLOOKUP(AJ49,AO:AP,2,FALSE)&amp;":"&amp;VLOOKUP(AJ49,AO:AP,2,FALSE)))</f>
        <v>52.395468980073929</v>
      </c>
      <c r="AM49" s="80">
        <f ca="1">SUMIF('Consolidated tables'!B:B,'Data inputs'!$T$15,INDIRECT("'Consolidated tables'!"&amp;VLOOKUP(AJ49,AO:AP,2,FALSE)&amp;":"&amp;VLOOKUP(AJ49,AO:AP,2,FALSE)))</f>
        <v>0</v>
      </c>
      <c r="AN49" s="80">
        <f ca="1">SUMIF('Consolidated tables'!B:B,'Data inputs'!$T$16,INDIRECT("'Consolidated tables'!"&amp;VLOOKUP(AJ49,AO:AP,2,FALSE)&amp;":"&amp;VLOOKUP(AJ49,AO:AP,2,FALSE)))</f>
        <v>0</v>
      </c>
      <c r="AO49" s="79">
        <v>42</v>
      </c>
      <c r="AP49" s="79" t="s">
        <v>53</v>
      </c>
      <c r="AQ49" s="1"/>
    </row>
    <row r="50" spans="4:43">
      <c r="T50" s="79"/>
      <c r="U50" s="79"/>
      <c r="V50" s="80">
        <f t="shared" si="10"/>
        <v>32</v>
      </c>
      <c r="W50" s="80">
        <f t="shared" ca="1" si="11"/>
        <v>0</v>
      </c>
      <c r="X50" s="80">
        <f t="shared" ca="1" si="4"/>
        <v>0</v>
      </c>
      <c r="Y50" s="80">
        <f t="shared" ca="1" si="5"/>
        <v>0</v>
      </c>
      <c r="Z50" s="80">
        <f t="shared" ca="1" si="12"/>
        <v>0</v>
      </c>
      <c r="AA50" s="79" t="b">
        <f t="shared" ca="1" si="13"/>
        <v>0</v>
      </c>
      <c r="AB50" s="79"/>
      <c r="AC50" s="80">
        <f t="shared" ca="1" si="14"/>
        <v>0</v>
      </c>
      <c r="AD50" s="80">
        <f t="shared" ca="1" si="15"/>
        <v>0</v>
      </c>
      <c r="AE50" s="80"/>
      <c r="AF50" s="80"/>
      <c r="AG50" s="80"/>
      <c r="AH50" s="80"/>
      <c r="AI50" s="80"/>
      <c r="AJ50" s="79">
        <v>49</v>
      </c>
      <c r="AK50" s="79">
        <f t="shared" si="16"/>
        <v>50</v>
      </c>
      <c r="AL50" s="79">
        <f ca="1">SUMIF('Consolidated tables'!B:B,'Data inputs'!$T$11,INDIRECT("'Consolidated tables'!"&amp;VLOOKUP(AJ50,AO:AP,2,FALSE)&amp;":"&amp;VLOOKUP(AJ50,AO:AP,2,FALSE)))</f>
        <v>53.063469380140305</v>
      </c>
      <c r="AM50" s="80">
        <f ca="1">SUMIF('Consolidated tables'!B:B,'Data inputs'!$T$15,INDIRECT("'Consolidated tables'!"&amp;VLOOKUP(AJ50,AO:AP,2,FALSE)&amp;":"&amp;VLOOKUP(AJ50,AO:AP,2,FALSE)))</f>
        <v>0</v>
      </c>
      <c r="AN50" s="80">
        <f ca="1">SUMIF('Consolidated tables'!B:B,'Data inputs'!$T$16,INDIRECT("'Consolidated tables'!"&amp;VLOOKUP(AJ50,AO:AP,2,FALSE)&amp;":"&amp;VLOOKUP(AJ50,AO:AP,2,FALSE)))</f>
        <v>0</v>
      </c>
      <c r="AO50" s="79">
        <v>43</v>
      </c>
      <c r="AP50" s="79" t="s">
        <v>54</v>
      </c>
      <c r="AQ50" s="1"/>
    </row>
    <row r="51" spans="4:43">
      <c r="T51" s="79"/>
      <c r="U51" s="79"/>
      <c r="V51" s="80">
        <f t="shared" si="10"/>
        <v>33</v>
      </c>
      <c r="W51" s="80">
        <f t="shared" ca="1" si="11"/>
        <v>0</v>
      </c>
      <c r="X51" s="80">
        <f t="shared" ca="1" si="4"/>
        <v>0</v>
      </c>
      <c r="Y51" s="80">
        <f t="shared" ca="1" si="5"/>
        <v>0</v>
      </c>
      <c r="Z51" s="80">
        <f t="shared" ca="1" si="12"/>
        <v>0</v>
      </c>
      <c r="AA51" s="79" t="b">
        <f t="shared" ca="1" si="13"/>
        <v>0</v>
      </c>
      <c r="AB51" s="79"/>
      <c r="AC51" s="80">
        <f t="shared" ca="1" si="14"/>
        <v>0</v>
      </c>
      <c r="AD51" s="80">
        <f t="shared" ca="1" si="15"/>
        <v>0</v>
      </c>
      <c r="AE51" s="80"/>
      <c r="AF51" s="80"/>
      <c r="AG51" s="80"/>
      <c r="AH51" s="80"/>
      <c r="AI51" s="80"/>
      <c r="AJ51" s="79">
        <v>50</v>
      </c>
      <c r="AK51" s="79">
        <f t="shared" si="16"/>
        <v>50</v>
      </c>
      <c r="AL51" s="79">
        <f ca="1">SUMIF('Consolidated tables'!B:B,'Data inputs'!$T$11,INDIRECT("'Consolidated tables'!"&amp;VLOOKUP(AJ51,AO:AP,2,FALSE)&amp;":"&amp;VLOOKUP(AJ51,AO:AP,2,FALSE)))</f>
        <v>53.756897300481796</v>
      </c>
      <c r="AM51" s="80">
        <f ca="1">SUMIF('Consolidated tables'!B:B,'Data inputs'!$T$15,INDIRECT("'Consolidated tables'!"&amp;VLOOKUP(AJ51,AO:AP,2,FALSE)&amp;":"&amp;VLOOKUP(AJ51,AO:AP,2,FALSE)))</f>
        <v>0</v>
      </c>
      <c r="AN51" s="80">
        <f ca="1">SUMIF('Consolidated tables'!B:B,'Data inputs'!$T$16,INDIRECT("'Consolidated tables'!"&amp;VLOOKUP(AJ51,AO:AP,2,FALSE)&amp;":"&amp;VLOOKUP(AJ51,AO:AP,2,FALSE)))</f>
        <v>0</v>
      </c>
      <c r="AO51" s="79">
        <v>44</v>
      </c>
      <c r="AP51" s="79" t="s">
        <v>55</v>
      </c>
      <c r="AQ51" s="1"/>
    </row>
    <row r="52" spans="4:43">
      <c r="T52" s="79"/>
      <c r="U52" s="79"/>
      <c r="V52" s="80">
        <f t="shared" si="10"/>
        <v>34</v>
      </c>
      <c r="W52" s="80">
        <f t="shared" ca="1" si="11"/>
        <v>0</v>
      </c>
      <c r="X52" s="80">
        <f t="shared" ca="1" si="4"/>
        <v>0</v>
      </c>
      <c r="Y52" s="80">
        <f t="shared" ca="1" si="5"/>
        <v>0</v>
      </c>
      <c r="Z52" s="80">
        <f t="shared" ca="1" si="12"/>
        <v>0</v>
      </c>
      <c r="AA52" s="79" t="b">
        <f t="shared" ca="1" si="13"/>
        <v>0</v>
      </c>
      <c r="AB52" s="79"/>
      <c r="AC52" s="80">
        <f t="shared" ca="1" si="14"/>
        <v>0</v>
      </c>
      <c r="AD52" s="80">
        <f t="shared" ca="1" si="15"/>
        <v>0</v>
      </c>
      <c r="AE52" s="80"/>
      <c r="AF52" s="80"/>
      <c r="AG52" s="80"/>
      <c r="AH52" s="80"/>
      <c r="AI52" s="80"/>
      <c r="AJ52" s="79"/>
      <c r="AK52" s="79"/>
      <c r="AL52" s="79"/>
      <c r="AM52" s="80"/>
      <c r="AN52" s="80"/>
      <c r="AO52" s="79">
        <v>45</v>
      </c>
      <c r="AP52" s="79" t="s">
        <v>56</v>
      </c>
      <c r="AQ52" s="1"/>
    </row>
    <row r="53" spans="4:43">
      <c r="T53" s="79"/>
      <c r="U53" s="79"/>
      <c r="V53" s="80">
        <f t="shared" si="10"/>
        <v>35</v>
      </c>
      <c r="W53" s="80">
        <f t="shared" ca="1" si="11"/>
        <v>0</v>
      </c>
      <c r="X53" s="80">
        <f t="shared" ca="1" si="4"/>
        <v>0</v>
      </c>
      <c r="Y53" s="80">
        <f t="shared" ca="1" si="5"/>
        <v>0</v>
      </c>
      <c r="Z53" s="80">
        <f t="shared" ca="1" si="12"/>
        <v>0</v>
      </c>
      <c r="AA53" s="79" t="b">
        <f t="shared" ca="1" si="13"/>
        <v>0</v>
      </c>
      <c r="AB53" s="79"/>
      <c r="AC53" s="80">
        <f t="shared" ca="1" si="14"/>
        <v>0</v>
      </c>
      <c r="AD53" s="80">
        <f t="shared" ca="1" si="15"/>
        <v>0</v>
      </c>
      <c r="AE53" s="80"/>
      <c r="AF53" s="80"/>
      <c r="AG53" s="80"/>
      <c r="AH53" s="80"/>
      <c r="AI53" s="80"/>
      <c r="AJ53" s="79"/>
      <c r="AK53" s="79"/>
      <c r="AL53" s="79"/>
      <c r="AM53" s="80"/>
      <c r="AN53" s="80"/>
      <c r="AO53" s="79">
        <v>46</v>
      </c>
      <c r="AP53" s="79" t="s">
        <v>57</v>
      </c>
      <c r="AQ53" s="1"/>
    </row>
    <row r="54" spans="4:43">
      <c r="T54" s="79"/>
      <c r="U54" s="79"/>
      <c r="V54" s="80">
        <f t="shared" si="10"/>
        <v>36</v>
      </c>
      <c r="W54" s="80">
        <f t="shared" ca="1" si="11"/>
        <v>0</v>
      </c>
      <c r="X54" s="80">
        <f t="shared" ca="1" si="4"/>
        <v>0</v>
      </c>
      <c r="Y54" s="80">
        <f t="shared" ca="1" si="5"/>
        <v>0</v>
      </c>
      <c r="Z54" s="80">
        <f t="shared" ca="1" si="12"/>
        <v>0</v>
      </c>
      <c r="AA54" s="79" t="b">
        <f t="shared" ca="1" si="13"/>
        <v>0</v>
      </c>
      <c r="AB54" s="79"/>
      <c r="AC54" s="80">
        <f t="shared" ca="1" si="14"/>
        <v>0</v>
      </c>
      <c r="AD54" s="80">
        <f t="shared" ca="1" si="15"/>
        <v>0</v>
      </c>
      <c r="AE54" s="80"/>
      <c r="AF54" s="80"/>
      <c r="AG54" s="80"/>
      <c r="AH54" s="80"/>
      <c r="AI54" s="80"/>
      <c r="AJ54" s="79"/>
      <c r="AK54" s="79"/>
      <c r="AL54" s="79"/>
      <c r="AM54" s="80"/>
      <c r="AN54" s="80"/>
      <c r="AO54" s="79">
        <v>47</v>
      </c>
      <c r="AP54" s="79" t="s">
        <v>63</v>
      </c>
    </row>
    <row r="55" spans="4:43">
      <c r="D55" s="53"/>
      <c r="T55" s="79"/>
      <c r="U55" s="79"/>
      <c r="V55" s="80">
        <f t="shared" si="10"/>
        <v>37</v>
      </c>
      <c r="W55" s="80">
        <f t="shared" ca="1" si="11"/>
        <v>0</v>
      </c>
      <c r="X55" s="80">
        <f t="shared" ca="1" si="4"/>
        <v>0</v>
      </c>
      <c r="Y55" s="80">
        <f t="shared" ca="1" si="5"/>
        <v>0</v>
      </c>
      <c r="Z55" s="80">
        <f t="shared" ca="1" si="12"/>
        <v>0</v>
      </c>
      <c r="AA55" s="79" t="b">
        <f t="shared" ca="1" si="13"/>
        <v>0</v>
      </c>
      <c r="AB55" s="79"/>
      <c r="AC55" s="80">
        <f t="shared" ca="1" si="14"/>
        <v>0</v>
      </c>
      <c r="AD55" s="80">
        <f t="shared" ca="1" si="15"/>
        <v>0</v>
      </c>
      <c r="AE55" s="80"/>
      <c r="AF55" s="80"/>
      <c r="AG55" s="80"/>
      <c r="AH55" s="80"/>
      <c r="AI55" s="80"/>
      <c r="AJ55" s="79"/>
      <c r="AK55" s="79"/>
      <c r="AL55" s="79"/>
      <c r="AM55" s="80"/>
      <c r="AN55" s="80"/>
      <c r="AO55" s="79">
        <v>48</v>
      </c>
      <c r="AP55" s="79" t="s">
        <v>64</v>
      </c>
    </row>
    <row r="56" spans="4:43">
      <c r="T56" s="79"/>
      <c r="U56" s="79"/>
      <c r="V56" s="80">
        <f t="shared" si="10"/>
        <v>38</v>
      </c>
      <c r="W56" s="80">
        <f t="shared" ca="1" si="11"/>
        <v>0</v>
      </c>
      <c r="X56" s="80">
        <f t="shared" ca="1" si="4"/>
        <v>0</v>
      </c>
      <c r="Y56" s="80">
        <f t="shared" ca="1" si="5"/>
        <v>0</v>
      </c>
      <c r="Z56" s="80">
        <f t="shared" ca="1" si="12"/>
        <v>0</v>
      </c>
      <c r="AA56" s="79" t="b">
        <f t="shared" ca="1" si="13"/>
        <v>0</v>
      </c>
      <c r="AB56" s="79"/>
      <c r="AC56" s="80">
        <f t="shared" ca="1" si="14"/>
        <v>0</v>
      </c>
      <c r="AD56" s="80">
        <f t="shared" ca="1" si="15"/>
        <v>0</v>
      </c>
      <c r="AE56" s="80"/>
      <c r="AF56" s="80"/>
      <c r="AG56" s="80"/>
      <c r="AH56" s="80"/>
      <c r="AI56" s="80"/>
      <c r="AJ56" s="79"/>
      <c r="AK56" s="79"/>
      <c r="AL56" s="79"/>
      <c r="AM56" s="80"/>
      <c r="AN56" s="80"/>
      <c r="AO56" s="79">
        <v>49</v>
      </c>
      <c r="AP56" s="79" t="s">
        <v>65</v>
      </c>
    </row>
    <row r="57" spans="4:43">
      <c r="T57" s="79"/>
      <c r="U57" s="79"/>
      <c r="V57" s="80">
        <f t="shared" si="10"/>
        <v>39</v>
      </c>
      <c r="W57" s="80">
        <f t="shared" ca="1" si="11"/>
        <v>0</v>
      </c>
      <c r="X57" s="80">
        <f t="shared" ca="1" si="4"/>
        <v>0</v>
      </c>
      <c r="Y57" s="80">
        <f t="shared" ca="1" si="5"/>
        <v>0</v>
      </c>
      <c r="Z57" s="80">
        <f t="shared" ca="1" si="12"/>
        <v>0</v>
      </c>
      <c r="AA57" s="79" t="b">
        <f t="shared" ca="1" si="13"/>
        <v>0</v>
      </c>
      <c r="AB57" s="79"/>
      <c r="AC57" s="80">
        <f t="shared" ca="1" si="14"/>
        <v>0</v>
      </c>
      <c r="AD57" s="80">
        <f t="shared" ca="1" si="15"/>
        <v>0</v>
      </c>
      <c r="AE57" s="80"/>
      <c r="AF57" s="80"/>
      <c r="AG57" s="80"/>
      <c r="AH57" s="80"/>
      <c r="AI57" s="80"/>
      <c r="AJ57" s="79"/>
      <c r="AK57" s="79"/>
      <c r="AL57" s="79"/>
      <c r="AM57" s="80"/>
      <c r="AN57" s="80"/>
      <c r="AO57" s="79">
        <v>50</v>
      </c>
      <c r="AP57" s="79" t="s">
        <v>66</v>
      </c>
    </row>
    <row r="58" spans="4:43">
      <c r="T58" s="79"/>
      <c r="U58" s="79"/>
      <c r="V58" s="80">
        <f t="shared" si="10"/>
        <v>40</v>
      </c>
      <c r="W58" s="80">
        <f t="shared" ca="1" si="11"/>
        <v>0</v>
      </c>
      <c r="X58" s="80">
        <f t="shared" ca="1" si="4"/>
        <v>0</v>
      </c>
      <c r="Y58" s="80">
        <f t="shared" ca="1" si="5"/>
        <v>0</v>
      </c>
      <c r="Z58" s="80">
        <f t="shared" ca="1" si="12"/>
        <v>0</v>
      </c>
      <c r="AA58" s="79" t="b">
        <f t="shared" ca="1" si="13"/>
        <v>0</v>
      </c>
      <c r="AB58" s="79"/>
      <c r="AC58" s="80">
        <f t="shared" ca="1" si="14"/>
        <v>0</v>
      </c>
      <c r="AD58" s="80">
        <f t="shared" ca="1" si="15"/>
        <v>0</v>
      </c>
      <c r="AE58" s="80"/>
      <c r="AF58" s="80"/>
      <c r="AG58" s="80"/>
      <c r="AH58" s="80"/>
      <c r="AI58" s="80"/>
      <c r="AJ58" s="79"/>
      <c r="AK58" s="79"/>
      <c r="AL58" s="79"/>
      <c r="AM58" s="79"/>
      <c r="AN58" s="79"/>
      <c r="AO58" s="79"/>
      <c r="AP58" s="79"/>
    </row>
    <row r="59" spans="4:43">
      <c r="T59" s="79"/>
      <c r="U59" s="79"/>
      <c r="V59" s="80">
        <f t="shared" si="10"/>
        <v>41</v>
      </c>
      <c r="W59" s="80">
        <f t="shared" ref="W59:W67" ca="1" si="17">AL43*$D$9</f>
        <v>0</v>
      </c>
      <c r="X59" s="80">
        <f t="shared" ca="1" si="4"/>
        <v>0</v>
      </c>
      <c r="Y59" s="80">
        <f t="shared" ca="1" si="5"/>
        <v>0</v>
      </c>
      <c r="Z59" s="80">
        <f t="shared" ca="1" si="12"/>
        <v>0</v>
      </c>
      <c r="AA59" s="79" t="b">
        <f t="shared" ca="1" si="13"/>
        <v>0</v>
      </c>
      <c r="AB59" s="79"/>
      <c r="AC59" s="80">
        <f t="shared" ref="AC59:AC67" ca="1" si="18">AM43*$D$9</f>
        <v>0</v>
      </c>
      <c r="AD59" s="80">
        <f t="shared" ca="1" si="15"/>
        <v>0</v>
      </c>
      <c r="AE59" s="80"/>
      <c r="AF59" s="80"/>
      <c r="AG59" s="80"/>
      <c r="AH59" s="80"/>
      <c r="AI59" s="80"/>
      <c r="AJ59" s="79"/>
      <c r="AK59" s="79"/>
      <c r="AL59" s="79"/>
      <c r="AM59" s="79"/>
      <c r="AN59" s="79"/>
      <c r="AO59" s="79"/>
      <c r="AP59" s="79"/>
    </row>
    <row r="60" spans="4:43">
      <c r="T60" s="79"/>
      <c r="U60" s="79"/>
      <c r="V60" s="80">
        <f t="shared" si="10"/>
        <v>42</v>
      </c>
      <c r="W60" s="80">
        <f t="shared" ca="1" si="17"/>
        <v>0</v>
      </c>
      <c r="X60" s="80">
        <f t="shared" ca="1" si="4"/>
        <v>0</v>
      </c>
      <c r="Y60" s="80">
        <f t="shared" ca="1" si="5"/>
        <v>0</v>
      </c>
      <c r="Z60" s="80">
        <f t="shared" ca="1" si="12"/>
        <v>0</v>
      </c>
      <c r="AA60" s="79" t="b">
        <f t="shared" ca="1" si="13"/>
        <v>0</v>
      </c>
      <c r="AB60" s="79"/>
      <c r="AC60" s="80">
        <f t="shared" ca="1" si="18"/>
        <v>0</v>
      </c>
      <c r="AD60" s="80">
        <f t="shared" ca="1" si="15"/>
        <v>0</v>
      </c>
      <c r="AE60" s="80"/>
      <c r="AF60" s="80"/>
      <c r="AG60" s="80"/>
      <c r="AH60" s="80"/>
      <c r="AI60" s="80"/>
      <c r="AJ60" s="79"/>
      <c r="AK60" s="79"/>
      <c r="AL60" s="79"/>
      <c r="AM60" s="79"/>
      <c r="AN60" s="79"/>
      <c r="AO60" s="79"/>
      <c r="AP60" s="79"/>
    </row>
    <row r="61" spans="4:43">
      <c r="T61" s="79"/>
      <c r="U61" s="79"/>
      <c r="V61" s="80">
        <f t="shared" si="10"/>
        <v>43</v>
      </c>
      <c r="W61" s="80">
        <f t="shared" ca="1" si="17"/>
        <v>0</v>
      </c>
      <c r="X61" s="80">
        <f t="shared" ca="1" si="4"/>
        <v>0</v>
      </c>
      <c r="Y61" s="80">
        <f t="shared" ca="1" si="5"/>
        <v>0</v>
      </c>
      <c r="Z61" s="80">
        <f t="shared" ca="1" si="12"/>
        <v>0</v>
      </c>
      <c r="AA61" s="79" t="b">
        <f t="shared" ca="1" si="13"/>
        <v>0</v>
      </c>
      <c r="AB61" s="79"/>
      <c r="AC61" s="80">
        <f t="shared" ca="1" si="18"/>
        <v>0</v>
      </c>
      <c r="AD61" s="80">
        <f t="shared" ca="1" si="15"/>
        <v>0</v>
      </c>
      <c r="AE61" s="80"/>
      <c r="AF61" s="80"/>
      <c r="AG61" s="80"/>
      <c r="AH61" s="80"/>
      <c r="AI61" s="80"/>
      <c r="AJ61" s="79"/>
      <c r="AK61" s="79"/>
      <c r="AL61" s="79"/>
      <c r="AM61" s="79"/>
      <c r="AN61" s="79"/>
      <c r="AO61" s="79"/>
      <c r="AP61" s="79"/>
    </row>
    <row r="62" spans="4:43">
      <c r="T62" s="79"/>
      <c r="U62" s="79"/>
      <c r="V62" s="80">
        <f t="shared" si="10"/>
        <v>44</v>
      </c>
      <c r="W62" s="80">
        <f t="shared" ca="1" si="17"/>
        <v>0</v>
      </c>
      <c r="X62" s="80">
        <f t="shared" ca="1" si="4"/>
        <v>0</v>
      </c>
      <c r="Y62" s="80">
        <f t="shared" ca="1" si="5"/>
        <v>0</v>
      </c>
      <c r="Z62" s="80">
        <f t="shared" ca="1" si="12"/>
        <v>0</v>
      </c>
      <c r="AA62" s="79" t="b">
        <f t="shared" ca="1" si="13"/>
        <v>0</v>
      </c>
      <c r="AB62" s="79"/>
      <c r="AC62" s="80">
        <f t="shared" ca="1" si="18"/>
        <v>0</v>
      </c>
      <c r="AD62" s="80">
        <f t="shared" ca="1" si="15"/>
        <v>0</v>
      </c>
      <c r="AE62" s="80"/>
      <c r="AF62" s="80"/>
      <c r="AG62" s="80"/>
      <c r="AH62" s="80"/>
      <c r="AI62" s="80"/>
      <c r="AJ62" s="79"/>
      <c r="AK62" s="79"/>
      <c r="AL62" s="79"/>
      <c r="AM62" s="79"/>
      <c r="AN62" s="79"/>
      <c r="AO62" s="79"/>
      <c r="AP62" s="79"/>
    </row>
    <row r="63" spans="4:43">
      <c r="T63" s="79"/>
      <c r="U63" s="79"/>
      <c r="V63" s="80">
        <f t="shared" si="10"/>
        <v>45</v>
      </c>
      <c r="W63" s="80">
        <f t="shared" ca="1" si="17"/>
        <v>0</v>
      </c>
      <c r="X63" s="80">
        <f t="shared" ca="1" si="4"/>
        <v>0</v>
      </c>
      <c r="Y63" s="80">
        <f t="shared" ca="1" si="5"/>
        <v>0</v>
      </c>
      <c r="Z63" s="80">
        <f t="shared" ca="1" si="12"/>
        <v>0</v>
      </c>
      <c r="AA63" s="79" t="b">
        <f t="shared" ca="1" si="13"/>
        <v>0</v>
      </c>
      <c r="AB63" s="79"/>
      <c r="AC63" s="80">
        <f t="shared" ca="1" si="18"/>
        <v>0</v>
      </c>
      <c r="AD63" s="80">
        <f t="shared" ca="1" si="15"/>
        <v>0</v>
      </c>
      <c r="AE63" s="80"/>
      <c r="AF63" s="80"/>
      <c r="AG63" s="80"/>
      <c r="AH63" s="80"/>
      <c r="AI63" s="80"/>
      <c r="AJ63" s="79"/>
      <c r="AK63" s="79"/>
      <c r="AL63" s="79"/>
      <c r="AM63" s="79"/>
      <c r="AN63" s="79"/>
      <c r="AO63" s="79"/>
      <c r="AP63" s="79"/>
    </row>
    <row r="64" spans="4:43">
      <c r="T64" s="79"/>
      <c r="U64" s="79"/>
      <c r="V64" s="80">
        <f t="shared" si="10"/>
        <v>46</v>
      </c>
      <c r="W64" s="80">
        <f t="shared" ca="1" si="17"/>
        <v>0</v>
      </c>
      <c r="X64" s="80">
        <f t="shared" ca="1" si="4"/>
        <v>0</v>
      </c>
      <c r="Y64" s="80">
        <f t="shared" ca="1" si="5"/>
        <v>0</v>
      </c>
      <c r="Z64" s="80">
        <f t="shared" ca="1" si="12"/>
        <v>0</v>
      </c>
      <c r="AA64" s="79" t="b">
        <f t="shared" ca="1" si="13"/>
        <v>0</v>
      </c>
      <c r="AB64" s="79"/>
      <c r="AC64" s="80">
        <f t="shared" ca="1" si="18"/>
        <v>0</v>
      </c>
      <c r="AD64" s="80">
        <f t="shared" ca="1" si="15"/>
        <v>0</v>
      </c>
      <c r="AE64" s="80"/>
      <c r="AF64" s="80"/>
      <c r="AG64" s="80"/>
      <c r="AH64" s="80"/>
      <c r="AI64" s="80"/>
      <c r="AJ64" s="79"/>
      <c r="AK64" s="79"/>
      <c r="AL64" s="79"/>
      <c r="AM64" s="79"/>
      <c r="AN64" s="79"/>
      <c r="AO64" s="79"/>
      <c r="AP64" s="79"/>
    </row>
    <row r="65" spans="20:42">
      <c r="T65" s="79"/>
      <c r="U65" s="79"/>
      <c r="V65" s="80">
        <f t="shared" si="10"/>
        <v>47</v>
      </c>
      <c r="W65" s="80">
        <f t="shared" ca="1" si="17"/>
        <v>0</v>
      </c>
      <c r="X65" s="80">
        <f t="shared" ca="1" si="4"/>
        <v>0</v>
      </c>
      <c r="Y65" s="80">
        <f t="shared" ca="1" si="5"/>
        <v>0</v>
      </c>
      <c r="Z65" s="80">
        <f t="shared" ca="1" si="12"/>
        <v>0</v>
      </c>
      <c r="AA65" s="79" t="b">
        <f t="shared" ca="1" si="13"/>
        <v>0</v>
      </c>
      <c r="AB65" s="79"/>
      <c r="AC65" s="80">
        <f t="shared" ca="1" si="18"/>
        <v>0</v>
      </c>
      <c r="AD65" s="80">
        <f t="shared" ca="1" si="15"/>
        <v>0</v>
      </c>
      <c r="AE65" s="80"/>
      <c r="AF65" s="80"/>
      <c r="AG65" s="80"/>
      <c r="AH65" s="80"/>
      <c r="AI65" s="80"/>
      <c r="AJ65" s="79"/>
      <c r="AK65" s="79"/>
      <c r="AL65" s="79"/>
      <c r="AM65" s="80"/>
      <c r="AN65" s="80"/>
      <c r="AO65" s="79"/>
      <c r="AP65" s="79"/>
    </row>
    <row r="66" spans="20:42">
      <c r="T66" s="79"/>
      <c r="U66" s="79"/>
      <c r="V66" s="80">
        <f t="shared" si="10"/>
        <v>48</v>
      </c>
      <c r="W66" s="80">
        <f t="shared" ca="1" si="17"/>
        <v>0</v>
      </c>
      <c r="X66" s="80">
        <f t="shared" ca="1" si="4"/>
        <v>0</v>
      </c>
      <c r="Y66" s="80">
        <f t="shared" ca="1" si="5"/>
        <v>0</v>
      </c>
      <c r="Z66" s="80">
        <f t="shared" ca="1" si="12"/>
        <v>0</v>
      </c>
      <c r="AA66" s="79" t="b">
        <f t="shared" ca="1" si="13"/>
        <v>0</v>
      </c>
      <c r="AB66" s="79"/>
      <c r="AC66" s="80">
        <f t="shared" ca="1" si="18"/>
        <v>0</v>
      </c>
      <c r="AD66" s="80">
        <f t="shared" ca="1" si="15"/>
        <v>0</v>
      </c>
      <c r="AE66" s="80"/>
      <c r="AF66" s="80"/>
      <c r="AG66" s="80"/>
      <c r="AH66" s="80"/>
      <c r="AI66" s="80"/>
      <c r="AJ66" s="79"/>
      <c r="AK66" s="79"/>
      <c r="AL66" s="79"/>
      <c r="AM66" s="80"/>
      <c r="AN66" s="80"/>
      <c r="AO66" s="79"/>
      <c r="AP66" s="79"/>
    </row>
    <row r="67" spans="20:42">
      <c r="T67" s="79"/>
      <c r="U67" s="79"/>
      <c r="V67" s="80">
        <f t="shared" si="10"/>
        <v>49</v>
      </c>
      <c r="W67" s="80">
        <f t="shared" ca="1" si="17"/>
        <v>0</v>
      </c>
      <c r="X67" s="80">
        <f t="shared" ca="1" si="4"/>
        <v>0</v>
      </c>
      <c r="Y67" s="80">
        <f t="shared" ca="1" si="5"/>
        <v>0</v>
      </c>
      <c r="Z67" s="80">
        <f t="shared" ca="1" si="12"/>
        <v>0</v>
      </c>
      <c r="AA67" s="79" t="b">
        <f t="shared" ca="1" si="13"/>
        <v>0</v>
      </c>
      <c r="AB67" s="79"/>
      <c r="AC67" s="80">
        <f t="shared" ca="1" si="18"/>
        <v>0</v>
      </c>
      <c r="AD67" s="80">
        <f t="shared" ca="1" si="15"/>
        <v>0</v>
      </c>
      <c r="AE67" s="80"/>
      <c r="AF67" s="80"/>
      <c r="AG67" s="80"/>
      <c r="AH67" s="80"/>
      <c r="AI67" s="80"/>
      <c r="AJ67" s="79"/>
      <c r="AK67" s="79"/>
      <c r="AL67" s="79"/>
      <c r="AM67" s="80"/>
      <c r="AN67" s="80"/>
      <c r="AO67" s="79"/>
      <c r="AP67" s="79"/>
    </row>
    <row r="70" spans="20:42">
      <c r="V70" s="1"/>
      <c r="W70" s="1"/>
      <c r="X70" s="1"/>
      <c r="Y70" s="1"/>
      <c r="Z70" s="1"/>
      <c r="AC70" s="1"/>
      <c r="AD70" s="1"/>
      <c r="AE70" s="1"/>
      <c r="AF70" s="1"/>
      <c r="AG70" s="1"/>
      <c r="AH70" s="1"/>
      <c r="AI70" s="1"/>
      <c r="AM70" s="1"/>
      <c r="AN70" s="1"/>
    </row>
    <row r="71" spans="20:42">
      <c r="V71" s="1"/>
      <c r="W71" s="1"/>
      <c r="X71" s="1"/>
      <c r="Y71" s="1"/>
      <c r="Z71" s="1"/>
      <c r="AC71" s="1"/>
      <c r="AD71" s="1"/>
      <c r="AE71" s="1"/>
      <c r="AF71" s="1"/>
      <c r="AG71" s="1"/>
      <c r="AH71" s="1"/>
      <c r="AI71" s="1"/>
      <c r="AM71" s="1"/>
      <c r="AN71" s="1"/>
    </row>
    <row r="72" spans="20:42">
      <c r="V72" s="1"/>
      <c r="W72" s="1"/>
      <c r="X72" s="1"/>
      <c r="Y72" s="1"/>
      <c r="Z72" s="1"/>
      <c r="AC72" s="1"/>
      <c r="AD72" s="1"/>
      <c r="AE72" s="1"/>
      <c r="AF72" s="1"/>
      <c r="AG72" s="1"/>
      <c r="AH72" s="1"/>
      <c r="AI72" s="1"/>
      <c r="AM72" s="1"/>
      <c r="AN72" s="1"/>
    </row>
    <row r="73" spans="20:42">
      <c r="V73" s="1"/>
      <c r="W73" s="1"/>
      <c r="X73" s="1"/>
      <c r="Y73" s="1"/>
      <c r="Z73" s="1"/>
      <c r="AC73" s="1"/>
      <c r="AD73" s="1"/>
      <c r="AE73" s="1"/>
      <c r="AF73" s="1"/>
      <c r="AG73" s="1"/>
      <c r="AH73" s="1"/>
      <c r="AI73" s="1"/>
      <c r="AM73" s="1"/>
      <c r="AN73" s="1"/>
    </row>
    <row r="74" spans="20:42">
      <c r="V74" s="1"/>
      <c r="W74" s="1"/>
      <c r="X74" s="1"/>
      <c r="Y74" s="1"/>
      <c r="Z74" s="1"/>
      <c r="AC74" s="1"/>
      <c r="AD74" s="1"/>
      <c r="AE74" s="1"/>
      <c r="AF74" s="1"/>
      <c r="AG74" s="1"/>
      <c r="AH74" s="1"/>
      <c r="AI74" s="1"/>
      <c r="AM74" s="1"/>
      <c r="AN74" s="1"/>
    </row>
    <row r="75" spans="20:42">
      <c r="V75" s="1"/>
      <c r="W75" s="1"/>
      <c r="X75" s="1"/>
      <c r="Y75" s="1"/>
      <c r="Z75" s="1"/>
      <c r="AC75" s="1"/>
      <c r="AD75" s="1"/>
      <c r="AE75" s="1"/>
      <c r="AF75" s="1"/>
      <c r="AG75" s="1"/>
      <c r="AH75" s="1"/>
      <c r="AI75" s="1"/>
      <c r="AM75" s="1"/>
      <c r="AN75" s="1"/>
    </row>
    <row r="76" spans="20:42">
      <c r="V76" s="1"/>
      <c r="W76" s="1"/>
      <c r="X76" s="1"/>
      <c r="Y76" s="1"/>
      <c r="Z76" s="1"/>
      <c r="AC76" s="1"/>
      <c r="AD76" s="1"/>
      <c r="AE76" s="1"/>
      <c r="AF76" s="1"/>
      <c r="AG76" s="1"/>
      <c r="AH76" s="1"/>
      <c r="AI76" s="1"/>
      <c r="AM76" s="1"/>
      <c r="AN76" s="1"/>
    </row>
    <row r="77" spans="20:42">
      <c r="V77" s="1"/>
      <c r="W77" s="1"/>
      <c r="X77" s="1"/>
      <c r="Y77" s="1"/>
      <c r="Z77" s="1"/>
      <c r="AC77" s="1"/>
      <c r="AD77" s="1"/>
      <c r="AE77" s="1"/>
      <c r="AF77" s="1"/>
      <c r="AG77" s="1"/>
      <c r="AH77" s="1"/>
      <c r="AI77" s="1"/>
      <c r="AM77" s="1"/>
      <c r="AN77" s="1"/>
    </row>
    <row r="78" spans="20:42">
      <c r="V78" s="1"/>
      <c r="W78" s="1"/>
      <c r="X78" s="1"/>
      <c r="Y78" s="1"/>
      <c r="Z78" s="1"/>
      <c r="AC78" s="1"/>
      <c r="AD78" s="1"/>
      <c r="AE78" s="1"/>
      <c r="AF78" s="1"/>
      <c r="AG78" s="1"/>
      <c r="AH78" s="1"/>
      <c r="AI78" s="1"/>
      <c r="AM78" s="1"/>
      <c r="AN78" s="1"/>
    </row>
    <row r="79" spans="20:42">
      <c r="AM79" s="1"/>
      <c r="AN79" s="1"/>
    </row>
    <row r="80" spans="20:42">
      <c r="AM80" s="1"/>
      <c r="AN80" s="1"/>
    </row>
    <row r="81" spans="39:40">
      <c r="AM81" s="1"/>
      <c r="AN81" s="1"/>
    </row>
    <row r="82" spans="39:40">
      <c r="AM82" s="1"/>
      <c r="AN82" s="1"/>
    </row>
    <row r="83" spans="39:40">
      <c r="AM83" s="1"/>
      <c r="AN83" s="1"/>
    </row>
    <row r="84" spans="39:40">
      <c r="AM84" s="1"/>
      <c r="AN84" s="1"/>
    </row>
    <row r="85" spans="39:40">
      <c r="AM85" s="1"/>
      <c r="AN85" s="1"/>
    </row>
    <row r="160" spans="8:68">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row>
    <row r="162" spans="8:52">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4" spans="8:52">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6" spans="8:52">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8" spans="8:52">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sheetData>
  <dataValidations count="5">
    <dataValidation type="whole" allowBlank="1" showInputMessage="1" showErrorMessage="1" errorTitle="Numbers only" error="Please enter a number between 1900 and the Current Year." sqref="D5">
      <formula1>1900</formula1>
      <formula2>D3</formula2>
    </dataValidation>
    <dataValidation type="whole" allowBlank="1" showErrorMessage="1" errorTitle="Numbers only" error="Please enter a number between Year of Site Opening and the Current Year." sqref="D7">
      <formula1>D5</formula1>
      <formula2>D3</formula2>
    </dataValidation>
    <dataValidation allowBlank="1" showInputMessage="1" showErrorMessage="1" error="Please enter a number between only" sqref="D3"/>
    <dataValidation type="whole" allowBlank="1" showErrorMessage="1" errorTitle="Numbers only" error="Numbers only" sqref="D9">
      <formula1>0</formula1>
      <formula2>10000000</formula2>
    </dataValidation>
    <dataValidation type="decimal" showInputMessage="1" showErrorMessage="1" errorTitle="Percentage only" error="Enter a percentage value between 0 and 100%" sqref="F42:F44">
      <formula1>0</formula1>
      <formula2>1</formula2>
    </dataValidation>
  </dataValidations>
  <pageMargins left="0.7" right="0.7" top="0.75" bottom="0.75" header="0.3" footer="0.3"/>
  <pageSetup paperSize="9" orientation="portrait" verticalDpi="0"/>
  <drawing r:id="rId1"/>
  <legacyDrawing r:id="rId2"/>
</worksheet>
</file>

<file path=xl/worksheets/sheet3.xml><?xml version="1.0" encoding="utf-8"?>
<worksheet xmlns="http://schemas.openxmlformats.org/spreadsheetml/2006/main" xmlns:r="http://schemas.openxmlformats.org/officeDocument/2006/relationships">
  <dimension ref="A1:ET40"/>
  <sheetViews>
    <sheetView showGridLines="0" zoomScale="85" zoomScaleNormal="85" workbookViewId="0">
      <selection activeCell="E37" sqref="E37"/>
    </sheetView>
  </sheetViews>
  <sheetFormatPr defaultRowHeight="15"/>
  <cols>
    <col min="1" max="1" width="30.44140625" customWidth="1"/>
    <col min="2" max="2" width="5.77734375" customWidth="1"/>
    <col min="3" max="4" width="8.88671875" customWidth="1"/>
    <col min="5" max="5" width="14.88671875" customWidth="1"/>
    <col min="6" max="6" width="12" bestFit="1" customWidth="1"/>
  </cols>
  <sheetData>
    <row r="1" spans="1:56" ht="17.25" thickTop="1" thickBot="1">
      <c r="A1" s="21"/>
      <c r="B1" s="22"/>
      <c r="C1" s="22"/>
      <c r="D1" s="22"/>
      <c r="E1" s="22"/>
      <c r="F1" s="23"/>
      <c r="G1" s="29" t="s">
        <v>74</v>
      </c>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row>
    <row r="2" spans="1:56" ht="17.25" thickTop="1" thickBot="1">
      <c r="A2" s="26"/>
      <c r="B2" s="27"/>
      <c r="C2" s="27"/>
      <c r="D2" s="27"/>
      <c r="E2" s="28"/>
      <c r="F2" s="70" t="s">
        <v>0</v>
      </c>
      <c r="G2" s="24">
        <v>1</v>
      </c>
      <c r="H2" s="24">
        <v>2</v>
      </c>
      <c r="I2" s="24">
        <v>3</v>
      </c>
      <c r="J2" s="24">
        <v>4</v>
      </c>
      <c r="K2" s="24">
        <v>5</v>
      </c>
      <c r="L2" s="24">
        <v>6</v>
      </c>
      <c r="M2" s="24">
        <v>7</v>
      </c>
      <c r="N2" s="24">
        <v>8</v>
      </c>
      <c r="O2" s="24">
        <v>9</v>
      </c>
      <c r="P2" s="24">
        <v>10</v>
      </c>
      <c r="Q2" s="24">
        <v>11</v>
      </c>
      <c r="R2" s="24">
        <v>12</v>
      </c>
      <c r="S2" s="24">
        <v>13</v>
      </c>
      <c r="T2" s="24">
        <v>14</v>
      </c>
      <c r="U2" s="24">
        <v>15</v>
      </c>
      <c r="V2" s="24">
        <v>16</v>
      </c>
      <c r="W2" s="24">
        <v>17</v>
      </c>
      <c r="X2" s="24">
        <v>18</v>
      </c>
      <c r="Y2" s="24">
        <v>19</v>
      </c>
      <c r="Z2" s="24">
        <v>20</v>
      </c>
      <c r="AA2" s="24">
        <v>21</v>
      </c>
      <c r="AB2" s="24">
        <v>22</v>
      </c>
      <c r="AC2" s="24">
        <v>23</v>
      </c>
      <c r="AD2" s="24">
        <v>24</v>
      </c>
      <c r="AE2" s="24">
        <v>25</v>
      </c>
      <c r="AF2" s="24">
        <v>26</v>
      </c>
      <c r="AG2" s="24">
        <v>27</v>
      </c>
      <c r="AH2" s="24">
        <v>28</v>
      </c>
      <c r="AI2" s="24">
        <v>29</v>
      </c>
      <c r="AJ2" s="24">
        <v>30</v>
      </c>
      <c r="AK2" s="24">
        <v>31</v>
      </c>
      <c r="AL2" s="24">
        <v>32</v>
      </c>
      <c r="AM2" s="24">
        <v>33</v>
      </c>
      <c r="AN2" s="24">
        <v>34</v>
      </c>
      <c r="AO2" s="24">
        <v>35</v>
      </c>
      <c r="AP2" s="24">
        <v>36</v>
      </c>
      <c r="AQ2" s="24">
        <v>37</v>
      </c>
      <c r="AR2" s="24">
        <v>38</v>
      </c>
      <c r="AS2" s="24">
        <v>39</v>
      </c>
      <c r="AT2" s="24">
        <v>40</v>
      </c>
      <c r="AU2" s="24">
        <v>41</v>
      </c>
      <c r="AV2" s="24">
        <v>42</v>
      </c>
      <c r="AW2" s="24">
        <v>43</v>
      </c>
      <c r="AX2" s="24">
        <v>44</v>
      </c>
      <c r="AY2" s="24">
        <v>45</v>
      </c>
      <c r="AZ2" s="24">
        <v>46</v>
      </c>
      <c r="BA2" s="24">
        <v>47</v>
      </c>
      <c r="BB2" s="24">
        <v>48</v>
      </c>
      <c r="BC2" s="24">
        <v>49</v>
      </c>
      <c r="BD2" s="24">
        <v>50</v>
      </c>
    </row>
    <row r="3" spans="1:56" s="20" customFormat="1" ht="17.25" thickTop="1" thickBot="1">
      <c r="A3" s="60" t="s">
        <v>75</v>
      </c>
      <c r="B3" s="50"/>
      <c r="C3" s="50"/>
      <c r="D3" s="61"/>
      <c r="E3" s="61"/>
      <c r="F3" s="68">
        <v>25</v>
      </c>
      <c r="G3" s="1">
        <v>62.609851837158203</v>
      </c>
      <c r="H3" s="1">
        <v>52.290382385253899</v>
      </c>
      <c r="I3" s="1">
        <v>43.773040771484403</v>
      </c>
      <c r="J3" s="1">
        <v>38.025543212890597</v>
      </c>
      <c r="K3" s="1">
        <v>33.792999267578097</v>
      </c>
      <c r="L3" s="1">
        <v>30.436487197876001</v>
      </c>
      <c r="M3" s="1">
        <v>27.625949859619102</v>
      </c>
      <c r="N3" s="1">
        <v>25.186660766601602</v>
      </c>
      <c r="O3" s="1">
        <v>23.022424697876001</v>
      </c>
      <c r="P3" s="1">
        <v>21.077114105224599</v>
      </c>
      <c r="Q3" s="1">
        <v>19.315372467041001</v>
      </c>
      <c r="R3" s="1">
        <v>17.712907791137699</v>
      </c>
      <c r="S3" s="1">
        <v>16.251571655273398</v>
      </c>
      <c r="T3" s="1">
        <v>14.9168376922607</v>
      </c>
      <c r="U3" s="1">
        <v>13.6964979171753</v>
      </c>
      <c r="V3" s="1">
        <v>12.579954147338899</v>
      </c>
      <c r="W3" s="1">
        <v>11.5578260421753</v>
      </c>
      <c r="X3" s="1">
        <v>10.62171459198</v>
      </c>
      <c r="Y3" s="1">
        <v>9.7640466690063494</v>
      </c>
      <c r="Z3" s="1">
        <v>8.9779682159423793</v>
      </c>
      <c r="AA3" s="1">
        <v>8.25726318359375</v>
      </c>
      <c r="AB3" s="1">
        <v>7.5962800979614302</v>
      </c>
      <c r="AC3" s="1">
        <v>6.9898824691772496</v>
      </c>
      <c r="AD3" s="1">
        <v>6.4333925247192401</v>
      </c>
      <c r="AE3" s="1">
        <v>5.9225516319274902</v>
      </c>
      <c r="AF3" s="1">
        <v>5.4534797668456996</v>
      </c>
      <c r="AG3" s="1">
        <v>5.0226402282714799</v>
      </c>
      <c r="AH3" s="1">
        <v>4.6268062591552699</v>
      </c>
      <c r="AI3" s="1">
        <v>4.2630362510681197</v>
      </c>
      <c r="AJ3" s="1">
        <v>3.9286441802978498</v>
      </c>
      <c r="AK3" s="1">
        <v>3.6211781501770002</v>
      </c>
      <c r="AL3" s="1">
        <v>3.3383991718292201</v>
      </c>
      <c r="AM3" s="1">
        <v>3.0782611370086701</v>
      </c>
      <c r="AN3" s="1">
        <v>2.8388936519622798</v>
      </c>
      <c r="AO3" s="1">
        <v>2.6185870170593302</v>
      </c>
      <c r="AP3" s="1">
        <v>2.4157772064209002</v>
      </c>
      <c r="AQ3" s="1">
        <v>2.2290334701538099</v>
      </c>
      <c r="AR3" s="1">
        <v>2.05704593658447</v>
      </c>
      <c r="AS3" s="1">
        <v>1.89861536026001</v>
      </c>
      <c r="AT3" s="1">
        <v>1.7526432275772099</v>
      </c>
      <c r="AU3" s="1">
        <v>1.6181232929229701</v>
      </c>
      <c r="AV3" s="1">
        <v>1.4941329956054701</v>
      </c>
      <c r="AW3" s="1">
        <v>1.3798269033432</v>
      </c>
      <c r="AX3" s="1">
        <v>1.2744293212890601</v>
      </c>
      <c r="AY3" s="1">
        <v>1.1772289276123</v>
      </c>
      <c r="AZ3" s="1">
        <v>1.0875726938247701</v>
      </c>
      <c r="BA3" s="1">
        <v>1.00486147403717</v>
      </c>
      <c r="BB3" s="1">
        <v>0.92854487895965598</v>
      </c>
      <c r="BC3" s="1">
        <v>0.85811758041381803</v>
      </c>
      <c r="BD3" s="1">
        <v>0.79311525821685802</v>
      </c>
    </row>
    <row r="4" spans="1:56" s="20" customFormat="1" ht="18.75" thickTop="1">
      <c r="A4" s="55" t="s">
        <v>71</v>
      </c>
      <c r="B4" s="50">
        <v>1</v>
      </c>
      <c r="C4" s="50"/>
      <c r="E4" s="50"/>
      <c r="F4" s="56" t="s">
        <v>1</v>
      </c>
      <c r="G4" s="57">
        <f>G3/$F3</f>
        <v>2.5043940734863281</v>
      </c>
      <c r="H4" s="58">
        <f>H3/$F3</f>
        <v>2.0916152954101559</v>
      </c>
      <c r="I4" s="58">
        <f>I3/$F3</f>
        <v>1.7509216308593762</v>
      </c>
      <c r="J4" s="58">
        <f>J3/F3</f>
        <v>1.5210217285156238</v>
      </c>
      <c r="K4" s="58">
        <f>K3/F3</f>
        <v>1.3517199707031238</v>
      </c>
      <c r="L4" s="58">
        <f>L3/F3</f>
        <v>1.21745948791504</v>
      </c>
      <c r="M4" s="58">
        <f>M3/F3</f>
        <v>1.1050379943847641</v>
      </c>
      <c r="N4" s="58">
        <f>N3/F3</f>
        <v>1.0074664306640642</v>
      </c>
      <c r="O4" s="58">
        <f>O3/F3</f>
        <v>0.92089698791504004</v>
      </c>
      <c r="P4" s="58">
        <f>P3/F3</f>
        <v>0.84308456420898392</v>
      </c>
      <c r="Q4" s="58">
        <f>Q3/F3</f>
        <v>0.77261489868164002</v>
      </c>
      <c r="R4" s="58">
        <f>R3/F3</f>
        <v>0.70851631164550799</v>
      </c>
      <c r="S4" s="58">
        <f>S3/F3</f>
        <v>0.6500628662109359</v>
      </c>
      <c r="T4" s="58">
        <f>T3/F3</f>
        <v>0.59667350769042793</v>
      </c>
      <c r="U4" s="58">
        <f>U3/F3</f>
        <v>0.54785991668701195</v>
      </c>
      <c r="V4" s="58">
        <f>V3/F3</f>
        <v>0.50319816589355593</v>
      </c>
      <c r="W4" s="58">
        <f>W3/F3</f>
        <v>0.46231304168701198</v>
      </c>
      <c r="X4" s="58">
        <f>X3/F3</f>
        <v>0.4248685836792</v>
      </c>
      <c r="Y4" s="58">
        <f>Y3/F3</f>
        <v>0.39056186676025395</v>
      </c>
      <c r="Z4" s="58">
        <f>Z3/F3</f>
        <v>0.35911872863769517</v>
      </c>
      <c r="AA4" s="58">
        <f>AA3/F3</f>
        <v>0.33029052734374997</v>
      </c>
      <c r="AB4" s="58">
        <f>AB3/F3</f>
        <v>0.30385120391845721</v>
      </c>
      <c r="AC4" s="58">
        <f>AC3/F3</f>
        <v>0.27959529876708999</v>
      </c>
      <c r="AD4" s="58">
        <f>AD3/F3</f>
        <v>0.25733570098876962</v>
      </c>
      <c r="AE4" s="58">
        <f>AE3/F3</f>
        <v>0.23690206527709962</v>
      </c>
      <c r="AF4" s="58">
        <f>AF3/F3</f>
        <v>0.21813919067382798</v>
      </c>
      <c r="AG4" s="58">
        <f>AG3/F3</f>
        <v>0.2009056091308592</v>
      </c>
      <c r="AH4" s="58">
        <f>AH3/F3</f>
        <v>0.18507225036621081</v>
      </c>
      <c r="AI4" s="58">
        <f>AI3/F3</f>
        <v>0.17052145004272479</v>
      </c>
      <c r="AJ4" s="58">
        <f>AJ3/F3</f>
        <v>0.15714576721191398</v>
      </c>
      <c r="AK4" s="58">
        <f>AK3/F3</f>
        <v>0.14484712600708</v>
      </c>
      <c r="AL4" s="58">
        <f>AL3/F3</f>
        <v>0.13353596687316879</v>
      </c>
      <c r="AM4" s="58">
        <f>AM3/F3</f>
        <v>0.12313044548034681</v>
      </c>
      <c r="AN4" s="58">
        <f>AN3/F3</f>
        <v>0.1135557460784912</v>
      </c>
      <c r="AO4" s="58">
        <f>AO3/F3</f>
        <v>0.10474348068237321</v>
      </c>
      <c r="AP4" s="58">
        <f>AP3/F3</f>
        <v>9.6631088256836015E-2</v>
      </c>
      <c r="AQ4" s="58">
        <f>AQ3/F3</f>
        <v>8.9161338806152401E-2</v>
      </c>
      <c r="AR4" s="58">
        <f>AR3/F3</f>
        <v>8.2281837463378804E-2</v>
      </c>
      <c r="AS4" s="58">
        <f>AS3/F3</f>
        <v>7.5944614410400402E-2</v>
      </c>
      <c r="AT4" s="58">
        <f>AT3/F3</f>
        <v>7.0105729103088391E-2</v>
      </c>
      <c r="AU4" s="58">
        <f>AU3/F3</f>
        <v>6.4724931716918802E-2</v>
      </c>
      <c r="AV4" s="58">
        <f>AV3/F3</f>
        <v>5.9765319824218802E-2</v>
      </c>
      <c r="AW4" s="58">
        <f>AW3/F3</f>
        <v>5.5193076133728002E-2</v>
      </c>
      <c r="AX4" s="58">
        <f>AX3/F3</f>
        <v>5.0977172851562405E-2</v>
      </c>
      <c r="AY4" s="58">
        <f>AY3/F3</f>
        <v>4.7089157104491998E-2</v>
      </c>
      <c r="AZ4" s="58">
        <f>AZ3/F3</f>
        <v>4.3502907752990802E-2</v>
      </c>
      <c r="BA4" s="58">
        <f>BA3/F3</f>
        <v>4.0194458961486795E-2</v>
      </c>
      <c r="BB4" s="58">
        <f>BB3/F3</f>
        <v>3.714179515838624E-2</v>
      </c>
      <c r="BC4" s="58">
        <f>BC3/F3</f>
        <v>3.4324703216552718E-2</v>
      </c>
      <c r="BD4" s="59">
        <f>BD3/F3</f>
        <v>3.1724610328674324E-2</v>
      </c>
    </row>
    <row r="5" spans="1:56" s="20" customFormat="1" hidden="1">
      <c r="A5" s="55" t="s">
        <v>7</v>
      </c>
      <c r="B5" s="50">
        <v>2</v>
      </c>
      <c r="C5" s="50"/>
      <c r="D5" s="50"/>
      <c r="E5" s="50"/>
      <c r="F5" s="56"/>
      <c r="G5" s="57"/>
      <c r="H5" s="50">
        <f t="shared" ref="H5:AM5" si="0">G4/H4</f>
        <v>1.1973492826247611</v>
      </c>
      <c r="I5" s="50">
        <f t="shared" si="0"/>
        <v>1.1945796194108143</v>
      </c>
      <c r="J5" s="50">
        <f t="shared" si="0"/>
        <v>1.1511483353811871</v>
      </c>
      <c r="K5" s="50">
        <f t="shared" si="0"/>
        <v>1.125249135532439</v>
      </c>
      <c r="L5" s="50">
        <f t="shared" si="0"/>
        <v>1.1102792200650649</v>
      </c>
      <c r="M5" s="50">
        <f t="shared" si="0"/>
        <v>1.1017354100958918</v>
      </c>
      <c r="N5" s="50">
        <f t="shared" si="0"/>
        <v>1.0968484514728558</v>
      </c>
      <c r="O5" s="50">
        <f t="shared" si="0"/>
        <v>1.0940055661871824</v>
      </c>
      <c r="P5" s="50">
        <f t="shared" si="0"/>
        <v>1.0922949215409523</v>
      </c>
      <c r="Q5" s="50">
        <f t="shared" si="0"/>
        <v>1.0912093018754758</v>
      </c>
      <c r="R5" s="50">
        <f t="shared" si="0"/>
        <v>1.090468752776157</v>
      </c>
      <c r="S5" s="50">
        <f t="shared" si="0"/>
        <v>1.0899196808076173</v>
      </c>
      <c r="T5" s="50">
        <f t="shared" si="0"/>
        <v>1.0894783459167889</v>
      </c>
      <c r="U5" s="50">
        <f t="shared" si="0"/>
        <v>1.0890986719718405</v>
      </c>
      <c r="V5" s="50">
        <f t="shared" si="0"/>
        <v>1.0887557901053708</v>
      </c>
      <c r="W5" s="50">
        <f t="shared" si="0"/>
        <v>1.0884360174165784</v>
      </c>
      <c r="X5" s="50">
        <f t="shared" si="0"/>
        <v>1.0881318587586712</v>
      </c>
      <c r="Y5" s="50">
        <f t="shared" si="0"/>
        <v>1.0878393920111131</v>
      </c>
      <c r="Z5" s="50">
        <f t="shared" si="0"/>
        <v>1.0875563862732454</v>
      </c>
      <c r="AA5" s="50">
        <f t="shared" si="0"/>
        <v>1.0872813444750786</v>
      </c>
      <c r="AB5" s="50">
        <f t="shared" si="0"/>
        <v>1.0870140486011968</v>
      </c>
      <c r="AC5" s="50">
        <f t="shared" si="0"/>
        <v>1.0867536230341734</v>
      </c>
      <c r="AD5" s="50">
        <f t="shared" si="0"/>
        <v>1.0865002317703745</v>
      </c>
      <c r="AE5" s="50">
        <f t="shared" si="0"/>
        <v>1.0862535144544612</v>
      </c>
      <c r="AF5" s="50">
        <f t="shared" si="0"/>
        <v>1.0860133135422088</v>
      </c>
      <c r="AG5" s="50">
        <f t="shared" si="0"/>
        <v>1.0857794942486834</v>
      </c>
      <c r="AH5" s="50">
        <f t="shared" si="0"/>
        <v>1.0855523112369261</v>
      </c>
      <c r="AI5" s="50">
        <f t="shared" si="0"/>
        <v>1.0853312021440134</v>
      </c>
      <c r="AJ5" s="50">
        <f t="shared" si="0"/>
        <v>1.0851164054121385</v>
      </c>
      <c r="AK5" s="50">
        <f t="shared" si="0"/>
        <v>1.0849077337180499</v>
      </c>
      <c r="AL5" s="50">
        <f t="shared" si="0"/>
        <v>1.084704963005618</v>
      </c>
      <c r="AM5" s="50">
        <f t="shared" si="0"/>
        <v>1.0845081113142145</v>
      </c>
      <c r="AN5" s="50">
        <f t="shared" ref="AN5:BD5" si="1">AM4/AN4</f>
        <v>1.0843171722480469</v>
      </c>
      <c r="AO5" s="50">
        <f t="shared" si="1"/>
        <v>1.0841318747353883</v>
      </c>
      <c r="AP5" s="50">
        <f t="shared" si="1"/>
        <v>1.0839521997721402</v>
      </c>
      <c r="AQ5" s="50">
        <f t="shared" si="1"/>
        <v>1.0837778969080283</v>
      </c>
      <c r="AR5" s="50">
        <f t="shared" si="1"/>
        <v>1.0836089902080208</v>
      </c>
      <c r="AS5" s="50">
        <f t="shared" si="1"/>
        <v>1.0834453252831386</v>
      </c>
      <c r="AT5" s="50">
        <f t="shared" si="1"/>
        <v>1.0832868494773957</v>
      </c>
      <c r="AU5" s="50">
        <f t="shared" si="1"/>
        <v>1.0831333034031316</v>
      </c>
      <c r="AV5" s="50">
        <f t="shared" si="1"/>
        <v>1.0829847795893532</v>
      </c>
      <c r="AW5" s="50">
        <f t="shared" si="1"/>
        <v>1.0828408925679853</v>
      </c>
      <c r="AX5" s="50">
        <f t="shared" si="1"/>
        <v>1.0827017868260691</v>
      </c>
      <c r="AY5" s="50">
        <f t="shared" si="1"/>
        <v>1.0825671128162859</v>
      </c>
      <c r="AZ5" s="50">
        <f t="shared" si="1"/>
        <v>1.0824370033346713</v>
      </c>
      <c r="BA5" s="50">
        <f t="shared" si="1"/>
        <v>1.0823110666739928</v>
      </c>
      <c r="BB5" s="50">
        <f t="shared" si="1"/>
        <v>1.0821894523429165</v>
      </c>
      <c r="BC5" s="50">
        <f t="shared" si="1"/>
        <v>1.0820718514027825</v>
      </c>
      <c r="BD5" s="62">
        <f t="shared" si="1"/>
        <v>1.0819582293033967</v>
      </c>
    </row>
    <row r="6" spans="1:56" s="20" customFormat="1" ht="21" thickBot="1">
      <c r="A6" s="66" t="s">
        <v>82</v>
      </c>
      <c r="B6" s="67">
        <v>3</v>
      </c>
      <c r="C6" s="67"/>
      <c r="D6" s="67"/>
      <c r="E6" s="67"/>
      <c r="F6" s="68" t="s">
        <v>109</v>
      </c>
      <c r="G6" s="63">
        <f>(($E$33*G4)*8760/1000000)*25</f>
        <v>196.34950414947511</v>
      </c>
      <c r="H6" s="64">
        <f t="shared" ref="H6:AL6" si="2">(($E$33*H4)*8760/1000000)*25</f>
        <v>163.98682239074705</v>
      </c>
      <c r="I6" s="64">
        <f t="shared" si="2"/>
        <v>137.27575770263684</v>
      </c>
      <c r="J6" s="64">
        <f t="shared" si="2"/>
        <v>119.25114555908192</v>
      </c>
      <c r="K6" s="64">
        <f t="shared" si="2"/>
        <v>105.9775491430663</v>
      </c>
      <c r="L6" s="64">
        <f t="shared" si="2"/>
        <v>95.451258771514958</v>
      </c>
      <c r="M6" s="64">
        <f t="shared" si="2"/>
        <v>86.637188835754273</v>
      </c>
      <c r="N6" s="64">
        <f t="shared" si="2"/>
        <v>78.987383096923963</v>
      </c>
      <c r="O6" s="64">
        <f t="shared" si="2"/>
        <v>72.200165646514975</v>
      </c>
      <c r="P6" s="64">
        <f t="shared" si="2"/>
        <v>66.099516003112768</v>
      </c>
      <c r="Q6" s="64">
        <f t="shared" si="2"/>
        <v>60.57455328643794</v>
      </c>
      <c r="R6" s="64">
        <f t="shared" si="2"/>
        <v>55.549095865631116</v>
      </c>
      <c r="S6" s="64">
        <f t="shared" si="2"/>
        <v>50.966228836669792</v>
      </c>
      <c r="T6" s="64">
        <f t="shared" si="2"/>
        <v>46.78039634994493</v>
      </c>
      <c r="U6" s="64">
        <f t="shared" si="2"/>
        <v>42.953313188095102</v>
      </c>
      <c r="V6" s="64">
        <f t="shared" si="2"/>
        <v>39.451742602386574</v>
      </c>
      <c r="W6" s="64">
        <f t="shared" si="2"/>
        <v>36.246267094345114</v>
      </c>
      <c r="X6" s="64">
        <f t="shared" si="2"/>
        <v>33.310546697616637</v>
      </c>
      <c r="Y6" s="64">
        <f t="shared" si="2"/>
        <v>30.620831477737426</v>
      </c>
      <c r="Z6" s="64">
        <f t="shared" si="2"/>
        <v>28.155626562652579</v>
      </c>
      <c r="AA6" s="64">
        <f t="shared" si="2"/>
        <v>25.895437924804689</v>
      </c>
      <c r="AB6" s="64">
        <f t="shared" si="2"/>
        <v>23.822542089614885</v>
      </c>
      <c r="AC6" s="64">
        <f t="shared" si="2"/>
        <v>21.92083061393739</v>
      </c>
      <c r="AD6" s="64">
        <f t="shared" si="2"/>
        <v>20.175633628921517</v>
      </c>
      <c r="AE6" s="64">
        <f t="shared" si="2"/>
        <v>18.573595721855163</v>
      </c>
      <c r="AF6" s="64">
        <f t="shared" si="2"/>
        <v>17.102548827209461</v>
      </c>
      <c r="AG6" s="64">
        <f t="shared" si="2"/>
        <v>15.751401567077622</v>
      </c>
      <c r="AH6" s="64">
        <f t="shared" si="2"/>
        <v>14.51003457321166</v>
      </c>
      <c r="AI6" s="64">
        <f t="shared" si="2"/>
        <v>13.36922272624971</v>
      </c>
      <c r="AJ6" s="64">
        <f t="shared" si="2"/>
        <v>12.320542440948481</v>
      </c>
      <c r="AK6" s="64">
        <f t="shared" si="2"/>
        <v>11.356304373207086</v>
      </c>
      <c r="AL6" s="64">
        <f t="shared" si="2"/>
        <v>10.46948687479018</v>
      </c>
      <c r="AM6" s="64">
        <f t="shared" ref="AM6:BD6" si="3">(($E$33*AM4)*8760/1000000)*25</f>
        <v>9.6536731865501526</v>
      </c>
      <c r="AN6" s="64">
        <f t="shared" si="3"/>
        <v>8.9029976040458667</v>
      </c>
      <c r="AO6" s="64">
        <f t="shared" si="3"/>
        <v>8.2120983724594243</v>
      </c>
      <c r="AP6" s="64">
        <f t="shared" si="3"/>
        <v>7.5760705815124574</v>
      </c>
      <c r="AQ6" s="64">
        <f t="shared" si="3"/>
        <v>6.99042728507996</v>
      </c>
      <c r="AR6" s="64">
        <f t="shared" si="3"/>
        <v>6.4510606208038253</v>
      </c>
      <c r="AS6" s="64">
        <f t="shared" si="3"/>
        <v>5.9542096590042126</v>
      </c>
      <c r="AT6" s="64">
        <f t="shared" si="3"/>
        <v>5.4964293731403364</v>
      </c>
      <c r="AU6" s="64">
        <f t="shared" si="3"/>
        <v>5.0745640964698673</v>
      </c>
      <c r="AV6" s="64">
        <f t="shared" si="3"/>
        <v>4.6857206048584024</v>
      </c>
      <c r="AW6" s="64">
        <f t="shared" si="3"/>
        <v>4.3272475550365428</v>
      </c>
      <c r="AX6" s="64">
        <f t="shared" si="3"/>
        <v>3.9967123059081962</v>
      </c>
      <c r="AY6" s="64">
        <f t="shared" si="3"/>
        <v>3.6918840953063818</v>
      </c>
      <c r="AZ6" s="64">
        <f t="shared" si="3"/>
        <v>3.4107149736499851</v>
      </c>
      <c r="BA6" s="64">
        <f t="shared" si="3"/>
        <v>3.1513259714984878</v>
      </c>
      <c r="BB6" s="64">
        <f t="shared" si="3"/>
        <v>2.9119910240077975</v>
      </c>
      <c r="BC6" s="64">
        <f t="shared" si="3"/>
        <v>2.6911253815841665</v>
      </c>
      <c r="BD6" s="65">
        <f t="shared" si="3"/>
        <v>2.4872728989887243</v>
      </c>
    </row>
    <row r="7" spans="1:56" s="20" customFormat="1" ht="17.25" thickTop="1" thickBot="1">
      <c r="A7" s="60" t="s">
        <v>76</v>
      </c>
      <c r="B7" s="50"/>
      <c r="C7" s="50"/>
      <c r="D7" s="50"/>
      <c r="E7" s="61"/>
      <c r="F7" s="69">
        <v>25</v>
      </c>
      <c r="G7" s="1">
        <v>46.098361968994098</v>
      </c>
      <c r="H7" s="1">
        <v>39.663692474365199</v>
      </c>
      <c r="I7" s="1">
        <v>34.730804443359403</v>
      </c>
      <c r="J7" s="1">
        <v>31.0135288238525</v>
      </c>
      <c r="K7" s="1">
        <v>28.012905120849599</v>
      </c>
      <c r="L7" s="1">
        <v>25.469728469848601</v>
      </c>
      <c r="M7" s="1">
        <v>23.2455043792725</v>
      </c>
      <c r="N7" s="1">
        <v>21.262895584106399</v>
      </c>
      <c r="O7" s="1">
        <v>19.475877761840799</v>
      </c>
      <c r="P7" s="1">
        <v>17.854759216308601</v>
      </c>
      <c r="Q7" s="1">
        <v>16.378637313842798</v>
      </c>
      <c r="R7" s="1">
        <v>15.031553268432599</v>
      </c>
      <c r="S7" s="1">
        <v>13.800537109375</v>
      </c>
      <c r="T7" s="1">
        <v>12.6745662689209</v>
      </c>
      <c r="U7" s="1">
        <v>11.6440076828003</v>
      </c>
      <c r="V7" s="1">
        <v>10.7003021240234</v>
      </c>
      <c r="W7" s="1">
        <v>9.8357639312744105</v>
      </c>
      <c r="X7" s="1">
        <v>9.0434541702270508</v>
      </c>
      <c r="Y7" s="1">
        <v>8.3170881271362305</v>
      </c>
      <c r="Z7" s="1">
        <v>7.6509571075439498</v>
      </c>
      <c r="AA7" s="1">
        <v>7.0398736000061</v>
      </c>
      <c r="AB7" s="1">
        <v>6.4791173934936497</v>
      </c>
      <c r="AC7" s="1">
        <v>5.9643893241882298</v>
      </c>
      <c r="AD7" s="1">
        <v>5.4917740821838397</v>
      </c>
      <c r="AE7" s="1">
        <v>5.0577030181884801</v>
      </c>
      <c r="AF7" s="1">
        <v>4.6589212417602504</v>
      </c>
      <c r="AG7" s="1">
        <v>4.2924609184265101</v>
      </c>
      <c r="AH7" s="1">
        <v>3.9556128978729199</v>
      </c>
      <c r="AI7" s="1">
        <v>3.6459038257598899</v>
      </c>
      <c r="AJ7" s="1">
        <v>3.3610751628875701</v>
      </c>
      <c r="AK7" s="1">
        <v>3.0990638732910201</v>
      </c>
      <c r="AL7" s="1">
        <v>2.8579835891723602</v>
      </c>
      <c r="AM7" s="1">
        <v>2.6361105442047101</v>
      </c>
      <c r="AN7" s="1">
        <v>2.4318675994872998</v>
      </c>
      <c r="AO7" s="1">
        <v>2.2438118457794198</v>
      </c>
      <c r="AP7" s="1">
        <v>2.0706231594085698</v>
      </c>
      <c r="AQ7" s="1">
        <v>1.9110922813415501</v>
      </c>
      <c r="AR7" s="1">
        <v>1.7641122341155999</v>
      </c>
      <c r="AS7" s="1">
        <v>1.62866830825806</v>
      </c>
      <c r="AT7" s="1">
        <v>1.5038311481475799</v>
      </c>
      <c r="AU7" s="1">
        <v>1.3887482881546001</v>
      </c>
      <c r="AV7" s="1">
        <v>1.28263819217682</v>
      </c>
      <c r="AW7" s="1">
        <v>1.1847838163375899</v>
      </c>
      <c r="AX7" s="1">
        <v>1.09452736377716</v>
      </c>
      <c r="AY7" s="1">
        <v>1.0112650394439699</v>
      </c>
      <c r="AZ7" s="1">
        <v>0.93444240093231201</v>
      </c>
      <c r="BA7" s="1">
        <v>0.86355006694793701</v>
      </c>
      <c r="BB7" s="1">
        <v>0.79812043905258201</v>
      </c>
      <c r="BC7" s="1">
        <v>0.737723648548126</v>
      </c>
      <c r="BD7" s="1">
        <v>0.68196457624435403</v>
      </c>
    </row>
    <row r="8" spans="1:56" s="20" customFormat="1" ht="18.75" thickTop="1">
      <c r="A8" s="55" t="s">
        <v>71</v>
      </c>
      <c r="B8" s="50">
        <v>5</v>
      </c>
      <c r="C8" s="50"/>
      <c r="E8" s="50"/>
      <c r="F8" s="56" t="s">
        <v>1</v>
      </c>
      <c r="G8" s="57">
        <f>G7/F7</f>
        <v>1.843934478759764</v>
      </c>
      <c r="H8" s="58">
        <f>H7/F7</f>
        <v>1.5865476989746079</v>
      </c>
      <c r="I8" s="58">
        <f>I7/F7</f>
        <v>1.3892321777343761</v>
      </c>
      <c r="J8" s="58">
        <f>J7/F7</f>
        <v>1.2405411529540999</v>
      </c>
      <c r="K8" s="58">
        <f>K7/F7</f>
        <v>1.1205162048339838</v>
      </c>
      <c r="L8" s="58">
        <f>L7/F7</f>
        <v>1.0187891387939441</v>
      </c>
      <c r="M8" s="58">
        <f>M7/F7</f>
        <v>0.92982017517089999</v>
      </c>
      <c r="N8" s="58">
        <f>N7/F7</f>
        <v>0.85051582336425602</v>
      </c>
      <c r="O8" s="58">
        <f>O7/F7</f>
        <v>0.77903511047363194</v>
      </c>
      <c r="P8" s="58">
        <f>P7/F7</f>
        <v>0.71419036865234409</v>
      </c>
      <c r="Q8" s="58">
        <f>Q7/F7</f>
        <v>0.65514549255371191</v>
      </c>
      <c r="R8" s="58">
        <f>R7/F7</f>
        <v>0.60126213073730395</v>
      </c>
      <c r="S8" s="58">
        <f>S7/F7</f>
        <v>0.55202148437499998</v>
      </c>
      <c r="T8" s="58">
        <f>T7/F7</f>
        <v>0.50698265075683602</v>
      </c>
      <c r="U8" s="58">
        <f>U7/F7</f>
        <v>0.46576030731201201</v>
      </c>
      <c r="V8" s="58">
        <f>V7/F7</f>
        <v>0.42801208496093601</v>
      </c>
      <c r="W8" s="58">
        <f>W7/F7</f>
        <v>0.39343055725097642</v>
      </c>
      <c r="X8" s="58">
        <f>X7/F7</f>
        <v>0.36173816680908205</v>
      </c>
      <c r="Y8" s="58">
        <f>Y7/F7</f>
        <v>0.33268352508544924</v>
      </c>
      <c r="Z8" s="58">
        <f>Z7/F7</f>
        <v>0.306038284301758</v>
      </c>
      <c r="AA8" s="58">
        <f>AA7/F7</f>
        <v>0.28159494400024399</v>
      </c>
      <c r="AB8" s="58">
        <f>AB7/F7</f>
        <v>0.25916469573974599</v>
      </c>
      <c r="AC8" s="58">
        <f>AC7/F7</f>
        <v>0.23857557296752918</v>
      </c>
      <c r="AD8" s="58">
        <f>AD7/F7</f>
        <v>0.21967096328735358</v>
      </c>
      <c r="AE8" s="58">
        <f>AE7/F7</f>
        <v>0.2023081207275392</v>
      </c>
      <c r="AF8" s="58">
        <f>AF7/F7</f>
        <v>0.18635684967041002</v>
      </c>
      <c r="AG8" s="58">
        <f>AG7/F7</f>
        <v>0.17169843673706039</v>
      </c>
      <c r="AH8" s="58">
        <f>AH7/F7</f>
        <v>0.15822451591491679</v>
      </c>
      <c r="AI8" s="58">
        <f>AI7/F7</f>
        <v>0.1458361530303956</v>
      </c>
      <c r="AJ8" s="58">
        <f>AJ7/F7</f>
        <v>0.13444300651550281</v>
      </c>
      <c r="AK8" s="58">
        <f>AK7/F7</f>
        <v>0.12396255493164081</v>
      </c>
      <c r="AL8" s="58">
        <f>AL7/F7</f>
        <v>0.11431934356689441</v>
      </c>
      <c r="AM8" s="58">
        <f>AM7/F7</f>
        <v>0.10544442176818841</v>
      </c>
      <c r="AN8" s="58">
        <f>AN7/F7</f>
        <v>9.7274703979491992E-2</v>
      </c>
      <c r="AO8" s="58">
        <f>AO7/F7</f>
        <v>8.9752473831176793E-2</v>
      </c>
      <c r="AP8" s="58">
        <f>AP7/F7</f>
        <v>8.2824926376342797E-2</v>
      </c>
      <c r="AQ8" s="58">
        <f>AQ7/F7</f>
        <v>7.6443691253662002E-2</v>
      </c>
      <c r="AR8" s="58">
        <f>AR7/F7</f>
        <v>7.0564489364623992E-2</v>
      </c>
      <c r="AS8" s="58">
        <f>AS7/F7</f>
        <v>6.5146732330322393E-2</v>
      </c>
      <c r="AT8" s="58">
        <f>AT7/F7</f>
        <v>6.0153245925903195E-2</v>
      </c>
      <c r="AU8" s="58">
        <f>AU7/F7</f>
        <v>5.5549931526184003E-2</v>
      </c>
      <c r="AV8" s="58">
        <f>AV7/F7</f>
        <v>5.1305527687072798E-2</v>
      </c>
      <c r="AW8" s="58">
        <f>AW7/F7</f>
        <v>4.7391352653503596E-2</v>
      </c>
      <c r="AX8" s="58">
        <f>AX7/F7</f>
        <v>4.3781094551086398E-2</v>
      </c>
      <c r="AY8" s="58">
        <f>AY7/F7</f>
        <v>4.0450601577758795E-2</v>
      </c>
      <c r="AZ8" s="58">
        <f>AZ7/F7</f>
        <v>3.7377696037292484E-2</v>
      </c>
      <c r="BA8" s="58">
        <f>BA7/F7</f>
        <v>3.4542002677917481E-2</v>
      </c>
      <c r="BB8" s="58">
        <f>BB7/F7</f>
        <v>3.1924817562103282E-2</v>
      </c>
      <c r="BC8" s="58">
        <f>BC7/F7</f>
        <v>2.950894594192504E-2</v>
      </c>
      <c r="BD8" s="59">
        <f>BD7/F7</f>
        <v>2.7278583049774163E-2</v>
      </c>
    </row>
    <row r="9" spans="1:56" s="20" customFormat="1" hidden="1">
      <c r="A9" s="55" t="s">
        <v>7</v>
      </c>
      <c r="B9" s="50">
        <v>6</v>
      </c>
      <c r="C9" s="50"/>
      <c r="D9" s="50"/>
      <c r="E9" s="50"/>
      <c r="F9" s="56"/>
      <c r="G9" s="55"/>
      <c r="H9" s="50">
        <f t="shared" ref="H9:AM9" si="4">G8/H8</f>
        <v>1.1622307226889592</v>
      </c>
      <c r="I9" s="50">
        <f t="shared" si="4"/>
        <v>1.1420320695148474</v>
      </c>
      <c r="J9" s="50">
        <f t="shared" si="4"/>
        <v>1.1198598082991429</v>
      </c>
      <c r="K9" s="50">
        <f t="shared" si="4"/>
        <v>1.107115762897779</v>
      </c>
      <c r="L9" s="50">
        <f t="shared" si="4"/>
        <v>1.0998509526323235</v>
      </c>
      <c r="M9" s="50">
        <f t="shared" si="4"/>
        <v>1.095684053754471</v>
      </c>
      <c r="N9" s="50">
        <f t="shared" si="4"/>
        <v>1.093242653020789</v>
      </c>
      <c r="O9" s="50">
        <f t="shared" si="4"/>
        <v>1.0917554445616267</v>
      </c>
      <c r="P9" s="50">
        <f t="shared" si="4"/>
        <v>1.0907947581870194</v>
      </c>
      <c r="Q9" s="50">
        <f t="shared" si="4"/>
        <v>1.0901248299343087</v>
      </c>
      <c r="R9" s="50">
        <f t="shared" si="4"/>
        <v>1.0896170888898873</v>
      </c>
      <c r="S9" s="50">
        <f t="shared" si="4"/>
        <v>1.0892005977232107</v>
      </c>
      <c r="T9" s="50">
        <f t="shared" si="4"/>
        <v>1.0888370313085249</v>
      </c>
      <c r="U9" s="50">
        <f t="shared" si="4"/>
        <v>1.0885054883330993</v>
      </c>
      <c r="V9" s="50">
        <f t="shared" si="4"/>
        <v>1.0881942909498017</v>
      </c>
      <c r="W9" s="50">
        <f t="shared" si="4"/>
        <v>1.0878974118116083</v>
      </c>
      <c r="X9" s="50">
        <f t="shared" si="4"/>
        <v>1.0876114088857562</v>
      </c>
      <c r="Y9" s="50">
        <f t="shared" si="4"/>
        <v>1.0873341765756817</v>
      </c>
      <c r="Z9" s="50">
        <f t="shared" si="4"/>
        <v>1.0870650573815748</v>
      </c>
      <c r="AA9" s="50">
        <f t="shared" si="4"/>
        <v>1.0868031931052458</v>
      </c>
      <c r="AB9" s="50">
        <f t="shared" si="4"/>
        <v>1.0865482399000153</v>
      </c>
      <c r="AC9" s="50">
        <f t="shared" si="4"/>
        <v>1.0863002130357202</v>
      </c>
      <c r="AD9" s="50">
        <f t="shared" si="4"/>
        <v>1.0860587553187278</v>
      </c>
      <c r="AE9" s="50">
        <f t="shared" si="4"/>
        <v>1.0858237548615164</v>
      </c>
      <c r="AF9" s="50">
        <f t="shared" si="4"/>
        <v>1.0855953032332353</v>
      </c>
      <c r="AG9" s="50">
        <f t="shared" si="4"/>
        <v>1.0853730133594495</v>
      </c>
      <c r="AH9" s="50">
        <f t="shared" si="4"/>
        <v>1.0851569729522133</v>
      </c>
      <c r="AI9" s="50">
        <f t="shared" si="4"/>
        <v>1.0849471316069286</v>
      </c>
      <c r="AJ9" s="50">
        <f t="shared" si="4"/>
        <v>1.0847433184527826</v>
      </c>
      <c r="AK9" s="50">
        <f t="shared" si="4"/>
        <v>1.0845453015198134</v>
      </c>
      <c r="AL9" s="50">
        <f t="shared" si="4"/>
        <v>1.0843532779656282</v>
      </c>
      <c r="AM9" s="50">
        <f t="shared" si="4"/>
        <v>1.0841668212493671</v>
      </c>
      <c r="AN9" s="50">
        <f t="shared" ref="AN9:BD9" si="5">AM8/AN8</f>
        <v>1.0839860462635673</v>
      </c>
      <c r="AO9" s="50">
        <f t="shared" si="5"/>
        <v>1.0838108391581986</v>
      </c>
      <c r="AP9" s="50">
        <f t="shared" si="5"/>
        <v>1.0836408525539325</v>
      </c>
      <c r="AQ9" s="50">
        <f t="shared" si="5"/>
        <v>1.0834762819276484</v>
      </c>
      <c r="AR9" s="50">
        <f t="shared" si="5"/>
        <v>1.0833167212287009</v>
      </c>
      <c r="AS9" s="50">
        <f t="shared" si="5"/>
        <v>1.0831623757709168</v>
      </c>
      <c r="AT9" s="50">
        <f t="shared" si="5"/>
        <v>1.0830127506430856</v>
      </c>
      <c r="AU9" s="50">
        <f t="shared" si="5"/>
        <v>1.0828680481370059</v>
      </c>
      <c r="AV9" s="50">
        <f t="shared" si="5"/>
        <v>1.082728002818703</v>
      </c>
      <c r="AW9" s="50">
        <f t="shared" si="5"/>
        <v>1.0825926000084285</v>
      </c>
      <c r="AX9" s="50">
        <f t="shared" si="5"/>
        <v>1.0824615770673465</v>
      </c>
      <c r="AY9" s="50">
        <f t="shared" si="5"/>
        <v>1.0823348193456492</v>
      </c>
      <c r="AZ9" s="50">
        <f t="shared" si="5"/>
        <v>1.0822122780762198</v>
      </c>
      <c r="BA9" s="50">
        <f t="shared" si="5"/>
        <v>1.082094063445483</v>
      </c>
      <c r="BB9" s="50">
        <f t="shared" si="5"/>
        <v>1.081979642036262</v>
      </c>
      <c r="BC9" s="50">
        <f t="shared" si="5"/>
        <v>1.0818691262281204</v>
      </c>
      <c r="BD9" s="62">
        <f t="shared" si="5"/>
        <v>1.0817624173543479</v>
      </c>
    </row>
    <row r="10" spans="1:56" s="20" customFormat="1" ht="21" thickBot="1">
      <c r="A10" s="66" t="s">
        <v>82</v>
      </c>
      <c r="B10" s="67">
        <v>7</v>
      </c>
      <c r="C10" s="67"/>
      <c r="D10" s="67"/>
      <c r="E10" s="64"/>
      <c r="F10" s="68" t="s">
        <v>109</v>
      </c>
      <c r="G10" s="63">
        <f t="shared" ref="G10:AL10" si="6">(($E$33*G8)*8760/1000000)*25</f>
        <v>144.56815100372299</v>
      </c>
      <c r="H10" s="64">
        <f t="shared" si="6"/>
        <v>124.38851269500721</v>
      </c>
      <c r="I10" s="64">
        <f t="shared" si="6"/>
        <v>108.91858119873055</v>
      </c>
      <c r="J10" s="64">
        <f t="shared" si="6"/>
        <v>97.260907473907338</v>
      </c>
      <c r="K10" s="64">
        <f t="shared" si="6"/>
        <v>87.850711491394009</v>
      </c>
      <c r="L10" s="64">
        <f t="shared" si="6"/>
        <v>79.87510605972281</v>
      </c>
      <c r="M10" s="64">
        <f t="shared" si="6"/>
        <v>72.899761373748902</v>
      </c>
      <c r="N10" s="64">
        <f t="shared" si="6"/>
        <v>66.682141583404402</v>
      </c>
      <c r="O10" s="64">
        <f t="shared" si="6"/>
        <v>61.07791073135369</v>
      </c>
      <c r="P10" s="64">
        <f t="shared" si="6"/>
        <v>55.99395328308109</v>
      </c>
      <c r="Q10" s="64">
        <f t="shared" si="6"/>
        <v>51.364716907196119</v>
      </c>
      <c r="R10" s="64">
        <f t="shared" si="6"/>
        <v>47.140153574066105</v>
      </c>
      <c r="S10" s="64">
        <f t="shared" si="6"/>
        <v>43.279588417968753</v>
      </c>
      <c r="T10" s="64">
        <f t="shared" si="6"/>
        <v>39.748453784637455</v>
      </c>
      <c r="U10" s="64">
        <f t="shared" si="6"/>
        <v>36.516539613876361</v>
      </c>
      <c r="V10" s="64">
        <f t="shared" si="6"/>
        <v>33.557003485107302</v>
      </c>
      <c r="W10" s="64">
        <f t="shared" si="6"/>
        <v>30.845742549591055</v>
      </c>
      <c r="X10" s="64">
        <f t="shared" si="6"/>
        <v>28.360995754165653</v>
      </c>
      <c r="Y10" s="64">
        <f t="shared" si="6"/>
        <v>26.083053733749388</v>
      </c>
      <c r="Z10" s="64">
        <f t="shared" si="6"/>
        <v>23.994013565826432</v>
      </c>
      <c r="AA10" s="64">
        <f t="shared" si="6"/>
        <v>22.077606799507127</v>
      </c>
      <c r="AB10" s="64">
        <f t="shared" si="6"/>
        <v>20.319030475387564</v>
      </c>
      <c r="AC10" s="64">
        <f t="shared" si="6"/>
        <v>18.704802071800223</v>
      </c>
      <c r="AD10" s="64">
        <f t="shared" si="6"/>
        <v>17.222642863655096</v>
      </c>
      <c r="AE10" s="64">
        <f t="shared" si="6"/>
        <v>15.861361281280528</v>
      </c>
      <c r="AF10" s="64">
        <f t="shared" si="6"/>
        <v>14.610749727859487</v>
      </c>
      <c r="AG10" s="64">
        <f t="shared" si="6"/>
        <v>13.46150083705901</v>
      </c>
      <c r="AH10" s="64">
        <f t="shared" si="6"/>
        <v>12.405118496761308</v>
      </c>
      <c r="AI10" s="64">
        <f t="shared" si="6"/>
        <v>11.433846069889077</v>
      </c>
      <c r="AJ10" s="64">
        <f t="shared" si="6"/>
        <v>10.540600596828451</v>
      </c>
      <c r="AK10" s="64">
        <f t="shared" si="6"/>
        <v>9.7189122317505028</v>
      </c>
      <c r="AL10" s="64">
        <f t="shared" si="6"/>
        <v>8.9628651743316539</v>
      </c>
      <c r="AM10" s="64">
        <f t="shared" ref="AM10:BD10" si="7">(($E$33*AM8)*8760/1000000)*25</f>
        <v>8.2670535554695093</v>
      </c>
      <c r="AN10" s="64">
        <f t="shared" si="7"/>
        <v>7.6265313414001303</v>
      </c>
      <c r="AO10" s="64">
        <f t="shared" si="7"/>
        <v>7.0367734533119233</v>
      </c>
      <c r="AP10" s="64">
        <f t="shared" si="7"/>
        <v>6.4936398777580271</v>
      </c>
      <c r="AQ10" s="64">
        <f t="shared" si="7"/>
        <v>5.9933382816696081</v>
      </c>
      <c r="AR10" s="64">
        <f t="shared" si="7"/>
        <v>5.5323970951652504</v>
      </c>
      <c r="AS10" s="64">
        <f t="shared" si="7"/>
        <v>5.1076341081619354</v>
      </c>
      <c r="AT10" s="64">
        <f t="shared" si="7"/>
        <v>4.7161347870826615</v>
      </c>
      <c r="AU10" s="64">
        <f t="shared" si="7"/>
        <v>4.3552257315158789</v>
      </c>
      <c r="AV10" s="64">
        <f t="shared" si="7"/>
        <v>4.0224559817218815</v>
      </c>
      <c r="AW10" s="64">
        <f t="shared" si="7"/>
        <v>3.7155768307399888</v>
      </c>
      <c r="AX10" s="64">
        <f t="shared" si="7"/>
        <v>3.4325253749942752</v>
      </c>
      <c r="AY10" s="64">
        <f t="shared" si="7"/>
        <v>3.1714080648994454</v>
      </c>
      <c r="AZ10" s="64">
        <f t="shared" si="7"/>
        <v>2.9304861247158054</v>
      </c>
      <c r="BA10" s="64">
        <f t="shared" si="7"/>
        <v>2.708162093954086</v>
      </c>
      <c r="BB10" s="64">
        <f t="shared" si="7"/>
        <v>2.5029695465040214</v>
      </c>
      <c r="BC10" s="64">
        <f t="shared" si="7"/>
        <v>2.3135603797388069</v>
      </c>
      <c r="BD10" s="65">
        <f t="shared" si="7"/>
        <v>2.1386954682683941</v>
      </c>
    </row>
    <row r="11" spans="1:56" s="20" customFormat="1" ht="17.25" thickTop="1" thickBot="1">
      <c r="A11" s="60" t="s">
        <v>77</v>
      </c>
      <c r="B11" s="50"/>
      <c r="C11" s="50"/>
      <c r="D11" s="50"/>
      <c r="E11" s="61"/>
      <c r="F11" s="69">
        <v>25</v>
      </c>
      <c r="G11" s="1">
        <v>35.784046173095703</v>
      </c>
      <c r="H11" s="1">
        <v>31.454597473144499</v>
      </c>
      <c r="I11" s="1">
        <v>27.996850967407202</v>
      </c>
      <c r="J11" s="1">
        <v>25.244703292846701</v>
      </c>
      <c r="K11" s="1">
        <v>22.933832168579102</v>
      </c>
      <c r="L11" s="1">
        <v>20.9241828918457</v>
      </c>
      <c r="M11" s="1">
        <v>19.1385288238525</v>
      </c>
      <c r="N11" s="1">
        <v>17.531717300415</v>
      </c>
      <c r="O11" s="1">
        <v>16.075222015380898</v>
      </c>
      <c r="P11" s="1">
        <v>14.7493839263916</v>
      </c>
      <c r="Q11" s="1">
        <v>13.5394697189331</v>
      </c>
      <c r="R11" s="1">
        <v>12.4336585998535</v>
      </c>
      <c r="S11" s="1">
        <v>11.4219961166382</v>
      </c>
      <c r="T11" s="1">
        <v>10.495826721191399</v>
      </c>
      <c r="U11" s="1">
        <v>9.6474828720092791</v>
      </c>
      <c r="V11" s="1">
        <v>8.8700876235961896</v>
      </c>
      <c r="W11" s="1">
        <v>8.1574401855468803</v>
      </c>
      <c r="X11" s="1">
        <v>7.5039219856262198</v>
      </c>
      <c r="Y11" s="1">
        <v>6.9044313430786097</v>
      </c>
      <c r="Z11" s="1">
        <v>6.35433006286621</v>
      </c>
      <c r="AA11" s="1">
        <v>5.8493976593017596</v>
      </c>
      <c r="AB11" s="1">
        <v>5.3857893943786603</v>
      </c>
      <c r="AC11" s="1">
        <v>4.96000099182129</v>
      </c>
      <c r="AD11" s="1">
        <v>4.5688390731811497</v>
      </c>
      <c r="AE11" s="1">
        <v>4.20938920974731</v>
      </c>
      <c r="AF11" s="1">
        <v>3.8789925575256299</v>
      </c>
      <c r="AG11" s="1">
        <v>3.5752222537994398</v>
      </c>
      <c r="AH11" s="1">
        <v>3.2958617210388201</v>
      </c>
      <c r="AI11" s="1">
        <v>3.0388855934143102</v>
      </c>
      <c r="AJ11" s="1">
        <v>2.8024435043335001</v>
      </c>
      <c r="AK11" s="1">
        <v>2.5848433971404998</v>
      </c>
      <c r="AL11" s="1">
        <v>2.3845379352569598</v>
      </c>
      <c r="AM11" s="1">
        <v>2.2001113891601598</v>
      </c>
      <c r="AN11" s="1">
        <v>2.0302679538726802</v>
      </c>
      <c r="AO11" s="1">
        <v>1.8738214969635001</v>
      </c>
      <c r="AP11" s="1">
        <v>1.72968566417694</v>
      </c>
      <c r="AQ11" s="1">
        <v>1.5968651771545399</v>
      </c>
      <c r="AR11" s="1">
        <v>1.47444796562195</v>
      </c>
      <c r="AS11" s="1">
        <v>1.3615978956222501</v>
      </c>
      <c r="AT11" s="1">
        <v>1.2575480937957799</v>
      </c>
      <c r="AU11" s="1">
        <v>1.1615953445434599</v>
      </c>
      <c r="AV11" s="1">
        <v>1.0730941295623799</v>
      </c>
      <c r="AW11" s="1">
        <v>0.99145215749740601</v>
      </c>
      <c r="AX11" s="1">
        <v>0.91612553596496604</v>
      </c>
      <c r="AY11" s="1">
        <v>0.84661483764648404</v>
      </c>
      <c r="AZ11" s="1">
        <v>0.78246116638183605</v>
      </c>
      <c r="BA11" s="1">
        <v>0.72324293851852395</v>
      </c>
      <c r="BB11" s="1">
        <v>0.66857266426086404</v>
      </c>
      <c r="BC11" s="1">
        <v>0.61809396743774403</v>
      </c>
      <c r="BD11" s="1">
        <v>0.57147926092147805</v>
      </c>
    </row>
    <row r="12" spans="1:56" s="20" customFormat="1" ht="18.75" thickTop="1">
      <c r="A12" s="55" t="s">
        <v>71</v>
      </c>
      <c r="B12" s="50">
        <v>10</v>
      </c>
      <c r="C12" s="50"/>
      <c r="E12" s="50"/>
      <c r="F12" s="56" t="s">
        <v>1</v>
      </c>
      <c r="G12" s="57">
        <f>G11/F11</f>
        <v>1.4313618469238281</v>
      </c>
      <c r="H12" s="58">
        <f>H11/F11</f>
        <v>1.2581838989257799</v>
      </c>
      <c r="I12" s="58">
        <f>I11/F11</f>
        <v>1.119874038696288</v>
      </c>
      <c r="J12" s="58">
        <f>J11/F11</f>
        <v>1.0097881317138679</v>
      </c>
      <c r="K12" s="58">
        <f>K11/F11</f>
        <v>0.91735328674316408</v>
      </c>
      <c r="L12" s="58">
        <f>L11/F11</f>
        <v>0.83696731567382798</v>
      </c>
      <c r="M12" s="58">
        <f>M11/F11</f>
        <v>0.76554115295409997</v>
      </c>
      <c r="N12" s="58">
        <f>N11/F11</f>
        <v>0.70126869201660003</v>
      </c>
      <c r="O12" s="58">
        <f>O11/F11</f>
        <v>0.64300888061523598</v>
      </c>
      <c r="P12" s="58">
        <f>P11/F11</f>
        <v>0.58997535705566395</v>
      </c>
      <c r="Q12" s="58">
        <f>Q11/F11</f>
        <v>0.54157878875732401</v>
      </c>
      <c r="R12" s="58">
        <f>R11/F11</f>
        <v>0.49734634399413996</v>
      </c>
      <c r="S12" s="58">
        <f>S11/F11</f>
        <v>0.456879844665528</v>
      </c>
      <c r="T12" s="58">
        <f>T11/F11</f>
        <v>0.41983306884765598</v>
      </c>
      <c r="U12" s="58">
        <f>U11/F11</f>
        <v>0.38589931488037116</v>
      </c>
      <c r="V12" s="58">
        <f>V11/F11</f>
        <v>0.3548035049438476</v>
      </c>
      <c r="W12" s="58">
        <f>W11/F11</f>
        <v>0.32629760742187519</v>
      </c>
      <c r="X12" s="58">
        <f>X11/F11</f>
        <v>0.30015687942504882</v>
      </c>
      <c r="Y12" s="58">
        <f>Y11/F11</f>
        <v>0.27617725372314439</v>
      </c>
      <c r="Z12" s="58">
        <f>Z11/F11</f>
        <v>0.25417320251464842</v>
      </c>
      <c r="AA12" s="58">
        <f>AA11/F11</f>
        <v>0.23397590637207039</v>
      </c>
      <c r="AB12" s="58">
        <f>AB11/F11</f>
        <v>0.21543157577514641</v>
      </c>
      <c r="AC12" s="58">
        <f>AC11/F11</f>
        <v>0.19840003967285161</v>
      </c>
      <c r="AD12" s="58">
        <f>AD11/F11</f>
        <v>0.18275356292724598</v>
      </c>
      <c r="AE12" s="58">
        <f>AE11/F11</f>
        <v>0.1683755683898924</v>
      </c>
      <c r="AF12" s="58">
        <f>AF11/F11</f>
        <v>0.15515970230102519</v>
      </c>
      <c r="AG12" s="58">
        <f>AG11/F11</f>
        <v>0.1430088901519776</v>
      </c>
      <c r="AH12" s="58">
        <f>AH11/F11</f>
        <v>0.13183446884155281</v>
      </c>
      <c r="AI12" s="58">
        <f>AI11/F11</f>
        <v>0.12155542373657241</v>
      </c>
      <c r="AJ12" s="58">
        <f>AJ11/F11</f>
        <v>0.11209774017334001</v>
      </c>
      <c r="AK12" s="58">
        <f>AK11/F11</f>
        <v>0.10339373588561999</v>
      </c>
      <c r="AL12" s="58">
        <f>AL11/F11</f>
        <v>9.5381517410278394E-2</v>
      </c>
      <c r="AM12" s="58">
        <f>AM11/F11</f>
        <v>8.8004455566406389E-2</v>
      </c>
      <c r="AN12" s="58">
        <f>AN11/F11</f>
        <v>8.1210718154907213E-2</v>
      </c>
      <c r="AO12" s="58">
        <f>AO11/F11</f>
        <v>7.4952859878540001E-2</v>
      </c>
      <c r="AP12" s="58">
        <f>AP11/F11</f>
        <v>6.9187426567077603E-2</v>
      </c>
      <c r="AQ12" s="58">
        <f>AQ11/F11</f>
        <v>6.387460708618159E-2</v>
      </c>
      <c r="AR12" s="58">
        <f>AR11/F11</f>
        <v>5.8977918624878001E-2</v>
      </c>
      <c r="AS12" s="58">
        <f>AS11/F11</f>
        <v>5.4463915824890005E-2</v>
      </c>
      <c r="AT12" s="58">
        <f>AT11/F11</f>
        <v>5.03019237518312E-2</v>
      </c>
      <c r="AU12" s="58">
        <f>AU11/F11</f>
        <v>4.6463813781738396E-2</v>
      </c>
      <c r="AV12" s="58">
        <f>AV11/F11</f>
        <v>4.2923765182495195E-2</v>
      </c>
      <c r="AW12" s="58">
        <f>AW11/F11</f>
        <v>3.9658086299896242E-2</v>
      </c>
      <c r="AX12" s="58">
        <f>AX11/F11</f>
        <v>3.6645021438598643E-2</v>
      </c>
      <c r="AY12" s="58">
        <f>AY11/F11</f>
        <v>3.386459350585936E-2</v>
      </c>
      <c r="AZ12" s="58">
        <f>AZ11/F11</f>
        <v>3.129844665527344E-2</v>
      </c>
      <c r="BA12" s="58">
        <f>BA11/F11</f>
        <v>2.892971754074096E-2</v>
      </c>
      <c r="BB12" s="58">
        <f>BB11/F11</f>
        <v>2.6742906570434561E-2</v>
      </c>
      <c r="BC12" s="58">
        <f>BC11/F11</f>
        <v>2.472375869750976E-2</v>
      </c>
      <c r="BD12" s="59">
        <f>BD11/F11</f>
        <v>2.2859170436859123E-2</v>
      </c>
    </row>
    <row r="13" spans="1:56" s="20" customFormat="1" hidden="1">
      <c r="A13" s="55" t="s">
        <v>7</v>
      </c>
      <c r="B13" s="50">
        <v>11</v>
      </c>
      <c r="C13" s="50"/>
      <c r="D13" s="50"/>
      <c r="E13" s="50"/>
      <c r="F13" s="56"/>
      <c r="G13" s="55"/>
      <c r="H13" s="50">
        <f t="shared" ref="H13:AM13" si="8">G12/H12</f>
        <v>1.1376412050304452</v>
      </c>
      <c r="I13" s="50">
        <f t="shared" si="8"/>
        <v>1.1235048366604754</v>
      </c>
      <c r="J13" s="50">
        <f t="shared" si="8"/>
        <v>1.1090188164477395</v>
      </c>
      <c r="K13" s="50">
        <f t="shared" si="8"/>
        <v>1.1007625375158037</v>
      </c>
      <c r="L13" s="50">
        <f t="shared" si="8"/>
        <v>1.096044337172974</v>
      </c>
      <c r="M13" s="50">
        <f t="shared" si="8"/>
        <v>1.0933015324442141</v>
      </c>
      <c r="N13" s="50">
        <f t="shared" si="8"/>
        <v>1.0916516902425448</v>
      </c>
      <c r="O13" s="50">
        <f t="shared" si="8"/>
        <v>1.0906049872058075</v>
      </c>
      <c r="P13" s="50">
        <f t="shared" si="8"/>
        <v>1.0898910826110459</v>
      </c>
      <c r="Q13" s="50">
        <f t="shared" si="8"/>
        <v>1.0893620084519704</v>
      </c>
      <c r="R13" s="50">
        <f t="shared" si="8"/>
        <v>1.088936905432857</v>
      </c>
      <c r="S13" s="50">
        <f t="shared" si="8"/>
        <v>1.0885714259473114</v>
      </c>
      <c r="T13" s="50">
        <f t="shared" si="8"/>
        <v>1.0882416811985698</v>
      </c>
      <c r="U13" s="50">
        <f t="shared" si="8"/>
        <v>1.087934216669455</v>
      </c>
      <c r="V13" s="50">
        <f t="shared" si="8"/>
        <v>1.0876423414741772</v>
      </c>
      <c r="W13" s="50">
        <f t="shared" si="8"/>
        <v>1.087361650449115</v>
      </c>
      <c r="X13" s="50">
        <f t="shared" si="8"/>
        <v>1.0870902177784463</v>
      </c>
      <c r="Y13" s="50">
        <f t="shared" si="8"/>
        <v>1.0868269395058252</v>
      </c>
      <c r="Z13" s="50">
        <f t="shared" si="8"/>
        <v>1.0865710900708656</v>
      </c>
      <c r="AA13" s="50">
        <f t="shared" si="8"/>
        <v>1.0863221194684043</v>
      </c>
      <c r="AB13" s="50">
        <f t="shared" si="8"/>
        <v>1.086079909735606</v>
      </c>
      <c r="AC13" s="50">
        <f t="shared" si="8"/>
        <v>1.0858444188336789</v>
      </c>
      <c r="AD13" s="50">
        <f t="shared" si="8"/>
        <v>1.0856151666484033</v>
      </c>
      <c r="AE13" s="50">
        <f t="shared" si="8"/>
        <v>1.0853924038674052</v>
      </c>
      <c r="AF13" s="50">
        <f t="shared" si="8"/>
        <v>1.0851758922766372</v>
      </c>
      <c r="AG13" s="50">
        <f t="shared" si="8"/>
        <v>1.0849654321219804</v>
      </c>
      <c r="AH13" s="50">
        <f t="shared" si="8"/>
        <v>1.0847609992183072</v>
      </c>
      <c r="AI13" s="50">
        <f t="shared" si="8"/>
        <v>1.084562619988529</v>
      </c>
      <c r="AJ13" s="50">
        <f t="shared" si="8"/>
        <v>1.0843699752431022</v>
      </c>
      <c r="AK13" s="50">
        <f t="shared" si="8"/>
        <v>1.0841830911047539</v>
      </c>
      <c r="AL13" s="50">
        <f t="shared" si="8"/>
        <v>1.0840017929351813</v>
      </c>
      <c r="AM13" s="50">
        <f t="shared" si="8"/>
        <v>1.0838260039948253</v>
      </c>
      <c r="AN13" s="50">
        <f t="shared" ref="AN13:BD13" si="9">AM12/AN12</f>
        <v>1.0836556745938426</v>
      </c>
      <c r="AO13" s="50">
        <f t="shared" si="9"/>
        <v>1.0834905871037874</v>
      </c>
      <c r="AP13" s="50">
        <f t="shared" si="9"/>
        <v>1.0833306512112106</v>
      </c>
      <c r="AQ13" s="50">
        <f t="shared" si="9"/>
        <v>1.0831757676994833</v>
      </c>
      <c r="AR13" s="50">
        <f t="shared" si="9"/>
        <v>1.0830257929658114</v>
      </c>
      <c r="AS13" s="50">
        <f t="shared" si="9"/>
        <v>1.0828806142860021</v>
      </c>
      <c r="AT13" s="50">
        <f t="shared" si="9"/>
        <v>1.0827402167279396</v>
      </c>
      <c r="AU13" s="50">
        <f t="shared" si="9"/>
        <v>1.0826042818637778</v>
      </c>
      <c r="AV13" s="50">
        <f t="shared" si="9"/>
        <v>1.0824729280898888</v>
      </c>
      <c r="AW13" s="50">
        <f t="shared" si="9"/>
        <v>1.0823458514337718</v>
      </c>
      <c r="AX13" s="50">
        <f t="shared" si="9"/>
        <v>1.0822230344808559</v>
      </c>
      <c r="AY13" s="50">
        <f t="shared" si="9"/>
        <v>1.0821042760267654</v>
      </c>
      <c r="AZ13" s="50">
        <f t="shared" si="9"/>
        <v>1.081989591331797</v>
      </c>
      <c r="BA13" s="50">
        <f t="shared" si="9"/>
        <v>1.0818787501535976</v>
      </c>
      <c r="BB13" s="50">
        <f t="shared" si="9"/>
        <v>1.081771626601127</v>
      </c>
      <c r="BC13" s="50">
        <f t="shared" si="9"/>
        <v>1.0816683214566472</v>
      </c>
      <c r="BD13" s="62">
        <f t="shared" si="9"/>
        <v>1.0815685007380711</v>
      </c>
    </row>
    <row r="14" spans="1:56" s="20" customFormat="1" ht="21" thickBot="1">
      <c r="A14" s="66" t="s">
        <v>82</v>
      </c>
      <c r="B14" s="67">
        <v>12</v>
      </c>
      <c r="C14" s="67"/>
      <c r="D14" s="67"/>
      <c r="E14" s="64"/>
      <c r="F14" s="68" t="s">
        <v>109</v>
      </c>
      <c r="G14" s="63">
        <f t="shared" ref="G14:AL14" si="10">(($E$33*G12)*8760/1000000)*25</f>
        <v>112.22163152252196</v>
      </c>
      <c r="H14" s="64">
        <f t="shared" si="10"/>
        <v>98.644134043579001</v>
      </c>
      <c r="I14" s="64">
        <f t="shared" si="10"/>
        <v>87.800364381866373</v>
      </c>
      <c r="J14" s="64">
        <f t="shared" si="10"/>
        <v>79.169409102630681</v>
      </c>
      <c r="K14" s="64">
        <f t="shared" si="10"/>
        <v>71.92233238723756</v>
      </c>
      <c r="L14" s="64">
        <f t="shared" si="10"/>
        <v>65.619911483459475</v>
      </c>
      <c r="M14" s="64">
        <f t="shared" si="10"/>
        <v>60.01995747390734</v>
      </c>
      <c r="N14" s="64">
        <f t="shared" si="10"/>
        <v>54.980867991485482</v>
      </c>
      <c r="O14" s="64">
        <f t="shared" si="10"/>
        <v>50.413182257995736</v>
      </c>
      <c r="P14" s="64">
        <f t="shared" si="10"/>
        <v>46.255247943878167</v>
      </c>
      <c r="Q14" s="64">
        <f t="shared" si="10"/>
        <v>42.460860196151714</v>
      </c>
      <c r="R14" s="64">
        <f t="shared" si="10"/>
        <v>38.992948061828557</v>
      </c>
      <c r="S14" s="64">
        <f t="shared" si="10"/>
        <v>35.820293581466728</v>
      </c>
      <c r="T14" s="64">
        <f t="shared" si="10"/>
        <v>32.915752263793927</v>
      </c>
      <c r="U14" s="64">
        <f t="shared" si="10"/>
        <v>30.255278085250854</v>
      </c>
      <c r="V14" s="64">
        <f t="shared" si="10"/>
        <v>27.817304394607547</v>
      </c>
      <c r="W14" s="64">
        <f t="shared" si="10"/>
        <v>25.582385017089859</v>
      </c>
      <c r="X14" s="64">
        <f t="shared" si="10"/>
        <v>23.532899660682673</v>
      </c>
      <c r="Y14" s="64">
        <f t="shared" si="10"/>
        <v>21.652849046401965</v>
      </c>
      <c r="Z14" s="64">
        <f t="shared" si="10"/>
        <v>19.927687423553468</v>
      </c>
      <c r="AA14" s="64">
        <f t="shared" si="10"/>
        <v>18.344179011383062</v>
      </c>
      <c r="AB14" s="64">
        <f t="shared" si="10"/>
        <v>16.890266403923029</v>
      </c>
      <c r="AC14" s="64">
        <f t="shared" si="10"/>
        <v>15.55495991043091</v>
      </c>
      <c r="AD14" s="64">
        <f t="shared" si="10"/>
        <v>14.32824484062194</v>
      </c>
      <c r="AE14" s="64">
        <f t="shared" si="10"/>
        <v>13.200981312904345</v>
      </c>
      <c r="AF14" s="64">
        <f t="shared" si="10"/>
        <v>12.164830979804977</v>
      </c>
      <c r="AG14" s="64">
        <f t="shared" si="10"/>
        <v>11.212183005695346</v>
      </c>
      <c r="AH14" s="64">
        <f t="shared" si="10"/>
        <v>10.336086026115424</v>
      </c>
      <c r="AI14" s="64">
        <f t="shared" si="10"/>
        <v>9.5301883317947507</v>
      </c>
      <c r="AJ14" s="64">
        <f t="shared" si="10"/>
        <v>8.7886870250702032</v>
      </c>
      <c r="AK14" s="64">
        <f t="shared" si="10"/>
        <v>8.1062756809043783</v>
      </c>
      <c r="AL14" s="64">
        <f t="shared" si="10"/>
        <v>7.478101728000647</v>
      </c>
      <c r="AM14" s="64">
        <f t="shared" ref="AM14:BD14" si="11">(($E$33*AM12)*8760/1000000)*25</f>
        <v>6.8997253253173945</v>
      </c>
      <c r="AN14" s="64">
        <f t="shared" si="11"/>
        <v>6.3670827247810351</v>
      </c>
      <c r="AO14" s="64">
        <f t="shared" si="11"/>
        <v>5.8764541201972937</v>
      </c>
      <c r="AP14" s="64">
        <f t="shared" si="11"/>
        <v>5.4244326177120188</v>
      </c>
      <c r="AQ14" s="64">
        <f t="shared" si="11"/>
        <v>5.0078969447708097</v>
      </c>
      <c r="AR14" s="64">
        <f t="shared" si="11"/>
        <v>4.6239867760276852</v>
      </c>
      <c r="AS14" s="64">
        <f t="shared" si="11"/>
        <v>4.2700799285030264</v>
      </c>
      <c r="AT14" s="64">
        <f t="shared" si="11"/>
        <v>3.9437714259910694</v>
      </c>
      <c r="AU14" s="64">
        <f t="shared" si="11"/>
        <v>3.6428559281158539</v>
      </c>
      <c r="AV14" s="64">
        <f t="shared" si="11"/>
        <v>3.3653090378379877</v>
      </c>
      <c r="AW14" s="64">
        <f t="shared" si="11"/>
        <v>3.1092732820844655</v>
      </c>
      <c r="AX14" s="64">
        <f t="shared" si="11"/>
        <v>2.8730429708290108</v>
      </c>
      <c r="AY14" s="64">
        <f t="shared" si="11"/>
        <v>2.6550518600463859</v>
      </c>
      <c r="AZ14" s="64">
        <f t="shared" si="11"/>
        <v>2.453860814666748</v>
      </c>
      <c r="BA14" s="64">
        <f t="shared" si="11"/>
        <v>2.2681477146291726</v>
      </c>
      <c r="BB14" s="64">
        <f t="shared" si="11"/>
        <v>2.0966973609352104</v>
      </c>
      <c r="BC14" s="64">
        <f t="shared" si="11"/>
        <v>1.93839212940216</v>
      </c>
      <c r="BD14" s="65">
        <f t="shared" si="11"/>
        <v>1.7922046805906291</v>
      </c>
    </row>
    <row r="15" spans="1:56" s="20" customFormat="1" ht="17.25" thickTop="1" thickBot="1">
      <c r="A15" s="60" t="s">
        <v>78</v>
      </c>
      <c r="B15" s="50"/>
      <c r="C15" s="50"/>
      <c r="D15" s="61"/>
      <c r="E15" s="61"/>
      <c r="F15" s="69">
        <v>25</v>
      </c>
      <c r="G15" s="1">
        <v>29.670164108276399</v>
      </c>
      <c r="H15" s="1">
        <v>29.248987197876001</v>
      </c>
      <c r="I15" s="1">
        <v>25.927629470825199</v>
      </c>
      <c r="J15" s="1">
        <v>23.223728179931602</v>
      </c>
      <c r="K15" s="1">
        <v>21.020715713501001</v>
      </c>
      <c r="L15" s="1">
        <v>19.141313552856399</v>
      </c>
      <c r="M15" s="1">
        <v>17.490383148193398</v>
      </c>
      <c r="N15" s="1">
        <v>16.014430999755898</v>
      </c>
      <c r="O15" s="1">
        <v>14.681327819824199</v>
      </c>
      <c r="P15" s="1">
        <v>13.470110893249499</v>
      </c>
      <c r="Q15" s="1">
        <v>12.3658542633057</v>
      </c>
      <c r="R15" s="1">
        <v>11.357052803039601</v>
      </c>
      <c r="S15" s="1">
        <v>10.434283256530801</v>
      </c>
      <c r="T15" s="1">
        <v>9.5894966125488299</v>
      </c>
      <c r="U15" s="1">
        <v>8.8156309127807599</v>
      </c>
      <c r="V15" s="1">
        <v>8.1063976287841797</v>
      </c>
      <c r="W15" s="1">
        <v>7.4561386108398402</v>
      </c>
      <c r="X15" s="1">
        <v>6.8597364425659197</v>
      </c>
      <c r="Y15" s="1">
        <v>6.3125510215759304</v>
      </c>
      <c r="Z15" s="1">
        <v>5.81036376953125</v>
      </c>
      <c r="AA15" s="1">
        <v>5.3493356704711896</v>
      </c>
      <c r="AB15" s="1">
        <v>4.9259705543518102</v>
      </c>
      <c r="AC15" s="1">
        <v>4.5370812416076696</v>
      </c>
      <c r="AD15" s="1">
        <v>4.1797618865966797</v>
      </c>
      <c r="AE15" s="1">
        <v>3.8513612747192401</v>
      </c>
      <c r="AF15" s="1">
        <v>3.54945993423462</v>
      </c>
      <c r="AG15" s="1">
        <v>3.2718482017517099</v>
      </c>
      <c r="AH15" s="1">
        <v>3.01650810241699</v>
      </c>
      <c r="AI15" s="1">
        <v>2.7815954685211199</v>
      </c>
      <c r="AJ15" s="1">
        <v>2.5654246807098402</v>
      </c>
      <c r="AK15" s="1">
        <v>2.36645460128784</v>
      </c>
      <c r="AL15" s="1">
        <v>2.1832749843597399</v>
      </c>
      <c r="AM15" s="1">
        <v>2.0145957469940199</v>
      </c>
      <c r="AN15" s="1">
        <v>1.85923564434052</v>
      </c>
      <c r="AO15" s="1">
        <v>1.71611332893372</v>
      </c>
      <c r="AP15" s="1">
        <v>1.5842381715774501</v>
      </c>
      <c r="AQ15" s="1">
        <v>1.46270227432251</v>
      </c>
      <c r="AR15" s="1">
        <v>1.35067367553711</v>
      </c>
      <c r="AS15" s="1">
        <v>1.2473894357681301</v>
      </c>
      <c r="AT15" s="1">
        <v>1.15214991569519</v>
      </c>
      <c r="AU15" s="1">
        <v>1.0643130540847801</v>
      </c>
      <c r="AV15" s="1">
        <v>0.98328977823257402</v>
      </c>
      <c r="AW15" s="1">
        <v>0.90853917598724399</v>
      </c>
      <c r="AX15" s="1">
        <v>0.83956468105316195</v>
      </c>
      <c r="AY15" s="1">
        <v>0.77591007947921797</v>
      </c>
      <c r="AZ15" s="1">
        <v>0.71715623140335105</v>
      </c>
      <c r="BA15" s="1">
        <v>0.66291797161102295</v>
      </c>
      <c r="BB15" s="1">
        <v>0.61284112930297896</v>
      </c>
      <c r="BC15" s="1">
        <v>0.56660026311874401</v>
      </c>
      <c r="BD15" s="1">
        <v>0.52389574050903298</v>
      </c>
    </row>
    <row r="16" spans="1:56" s="20" customFormat="1" ht="18.75" thickTop="1">
      <c r="A16" s="55" t="s">
        <v>71</v>
      </c>
      <c r="B16" s="50">
        <v>15</v>
      </c>
      <c r="C16" s="50"/>
      <c r="E16" s="50"/>
      <c r="F16" s="56" t="s">
        <v>1</v>
      </c>
      <c r="G16" s="57">
        <f>G15/F15</f>
        <v>1.1868065643310559</v>
      </c>
      <c r="H16" s="58">
        <f>H15/F15</f>
        <v>1.1699594879150401</v>
      </c>
      <c r="I16" s="58">
        <f>I15/F15</f>
        <v>1.0371051788330079</v>
      </c>
      <c r="J16" s="58">
        <f>J15/F15</f>
        <v>0.92894912719726408</v>
      </c>
      <c r="K16" s="58">
        <f>K15/F15</f>
        <v>0.84082862854004004</v>
      </c>
      <c r="L16" s="58">
        <f>L15/F15</f>
        <v>0.76565254211425593</v>
      </c>
      <c r="M16" s="58">
        <f>M15/F15</f>
        <v>0.6996153259277359</v>
      </c>
      <c r="N16" s="58">
        <f>N15/F15</f>
        <v>0.64057723999023597</v>
      </c>
      <c r="O16" s="58">
        <f>O15/F15</f>
        <v>0.58725311279296799</v>
      </c>
      <c r="P16" s="58">
        <f>P15/F15</f>
        <v>0.53880443572997994</v>
      </c>
      <c r="Q16" s="58">
        <f>Q15/F15</f>
        <v>0.49463417053222797</v>
      </c>
      <c r="R16" s="58">
        <f>R15/F15</f>
        <v>0.45428211212158404</v>
      </c>
      <c r="S16" s="58">
        <f>S15/F15</f>
        <v>0.41737133026123202</v>
      </c>
      <c r="T16" s="58">
        <f>T15/F15</f>
        <v>0.38357986450195319</v>
      </c>
      <c r="U16" s="58">
        <f>U15/F15</f>
        <v>0.3526252365112304</v>
      </c>
      <c r="V16" s="58">
        <f>V15/F15</f>
        <v>0.32425590515136721</v>
      </c>
      <c r="W16" s="58">
        <f>W15/F15</f>
        <v>0.29824554443359363</v>
      </c>
      <c r="X16" s="58">
        <f>X15/F15</f>
        <v>0.27438945770263679</v>
      </c>
      <c r="Y16" s="58">
        <f>Y15/F15</f>
        <v>0.25250204086303724</v>
      </c>
      <c r="Z16" s="58">
        <f>Z15/F15</f>
        <v>0.23241455078125001</v>
      </c>
      <c r="AA16" s="58">
        <f>AA15/F15</f>
        <v>0.2139734268188476</v>
      </c>
      <c r="AB16" s="58">
        <f>AB15/F15</f>
        <v>0.1970388221740724</v>
      </c>
      <c r="AC16" s="58">
        <f>AC15/F15</f>
        <v>0.18148324966430679</v>
      </c>
      <c r="AD16" s="58">
        <f>AD15/F15</f>
        <v>0.1671904754638672</v>
      </c>
      <c r="AE16" s="58">
        <f>AE15/F15</f>
        <v>0.1540544509887696</v>
      </c>
      <c r="AF16" s="58">
        <f>AF15/F15</f>
        <v>0.14197839736938481</v>
      </c>
      <c r="AG16" s="58">
        <f>AG15/F15</f>
        <v>0.1308739280700684</v>
      </c>
      <c r="AH16" s="58">
        <f>AH15/F15</f>
        <v>0.12066032409667959</v>
      </c>
      <c r="AI16" s="58">
        <f>AI15/F15</f>
        <v>0.1112638187408448</v>
      </c>
      <c r="AJ16" s="58">
        <f>AJ15/F15</f>
        <v>0.1026169872283936</v>
      </c>
      <c r="AK16" s="58">
        <f>AK15/F15</f>
        <v>9.4658184051513605E-2</v>
      </c>
      <c r="AL16" s="58">
        <f>AL15/F15</f>
        <v>8.7330999374389595E-2</v>
      </c>
      <c r="AM16" s="58">
        <f>AM15/F15</f>
        <v>8.0583829879760802E-2</v>
      </c>
      <c r="AN16" s="58">
        <f>AN15/F15</f>
        <v>7.4369425773620795E-2</v>
      </c>
      <c r="AO16" s="58">
        <f>AO15/F15</f>
        <v>6.8644533157348808E-2</v>
      </c>
      <c r="AP16" s="58">
        <f>AP15/F15</f>
        <v>6.3369526863098005E-2</v>
      </c>
      <c r="AQ16" s="58">
        <f>AQ15/F15</f>
        <v>5.8508090972900398E-2</v>
      </c>
      <c r="AR16" s="58">
        <f>AR15/F15</f>
        <v>5.4026947021484403E-2</v>
      </c>
      <c r="AS16" s="58">
        <f>AS15/F15</f>
        <v>4.9895577430725202E-2</v>
      </c>
      <c r="AT16" s="58">
        <f>AT15/F15</f>
        <v>4.6085996627807602E-2</v>
      </c>
      <c r="AU16" s="58">
        <f>AU15/F15</f>
        <v>4.2572522163391205E-2</v>
      </c>
      <c r="AV16" s="58">
        <f>AV15/F15</f>
        <v>3.9331591129302963E-2</v>
      </c>
      <c r="AW16" s="58">
        <f>AW15/F15</f>
        <v>3.6341567039489757E-2</v>
      </c>
      <c r="AX16" s="58">
        <f>AX15/F15</f>
        <v>3.3582587242126476E-2</v>
      </c>
      <c r="AY16" s="58">
        <f>AY15/F15</f>
        <v>3.1036403179168719E-2</v>
      </c>
      <c r="AZ16" s="58">
        <f>AZ15/F15</f>
        <v>2.8686249256134042E-2</v>
      </c>
      <c r="BA16" s="58">
        <f>BA15/F15</f>
        <v>2.6516718864440916E-2</v>
      </c>
      <c r="BB16" s="58">
        <f>BB15/F15</f>
        <v>2.451364517211916E-2</v>
      </c>
      <c r="BC16" s="58">
        <f>BC15/F15</f>
        <v>2.2664010524749759E-2</v>
      </c>
      <c r="BD16" s="59">
        <f>BD15/F15</f>
        <v>2.095582962036132E-2</v>
      </c>
    </row>
    <row r="17" spans="1:150" s="20" customFormat="1" hidden="1">
      <c r="A17" s="55" t="s">
        <v>7</v>
      </c>
      <c r="B17" s="50">
        <v>16</v>
      </c>
      <c r="C17" s="50"/>
      <c r="D17" s="50"/>
      <c r="E17" s="50"/>
      <c r="F17" s="56"/>
      <c r="G17" s="55"/>
      <c r="H17" s="50">
        <f t="shared" ref="H17:AM17" si="12">G16/H16</f>
        <v>1.014399709212187</v>
      </c>
      <c r="I17" s="50">
        <f t="shared" si="12"/>
        <v>1.128101095041802</v>
      </c>
      <c r="J17" s="50">
        <f t="shared" si="12"/>
        <v>1.1164283903921217</v>
      </c>
      <c r="K17" s="50">
        <f t="shared" si="12"/>
        <v>1.1048019723236955</v>
      </c>
      <c r="L17" s="50">
        <f t="shared" si="12"/>
        <v>1.0981856420383513</v>
      </c>
      <c r="M17" s="50">
        <f t="shared" si="12"/>
        <v>1.0943907512302569</v>
      </c>
      <c r="N17" s="50">
        <f t="shared" si="12"/>
        <v>1.0921638832163314</v>
      </c>
      <c r="O17" s="50">
        <f t="shared" si="12"/>
        <v>1.0908026301361931</v>
      </c>
      <c r="P17" s="50">
        <f t="shared" si="12"/>
        <v>1.0899188533913036</v>
      </c>
      <c r="Q17" s="50">
        <f t="shared" si="12"/>
        <v>1.0892988552534182</v>
      </c>
      <c r="R17" s="50">
        <f t="shared" si="12"/>
        <v>1.0888259901368165</v>
      </c>
      <c r="S17" s="50">
        <f t="shared" si="12"/>
        <v>1.08843631362329</v>
      </c>
      <c r="T17" s="50">
        <f t="shared" si="12"/>
        <v>1.0880949937326723</v>
      </c>
      <c r="U17" s="50">
        <f t="shared" si="12"/>
        <v>1.0877833597418571</v>
      </c>
      <c r="V17" s="50">
        <f t="shared" si="12"/>
        <v>1.0874905619579078</v>
      </c>
      <c r="W17" s="50">
        <f t="shared" si="12"/>
        <v>1.0872112298179359</v>
      </c>
      <c r="X17" s="50">
        <f t="shared" si="12"/>
        <v>1.0869424318656233</v>
      </c>
      <c r="Y17" s="50">
        <f t="shared" si="12"/>
        <v>1.0866821383494154</v>
      </c>
      <c r="Z17" s="50">
        <f t="shared" si="12"/>
        <v>1.0864295717039407</v>
      </c>
      <c r="AA17" s="50">
        <f t="shared" si="12"/>
        <v>1.0861841782718884</v>
      </c>
      <c r="AB17" s="50">
        <f t="shared" si="12"/>
        <v>1.0859455231102348</v>
      </c>
      <c r="AC17" s="50">
        <f t="shared" si="12"/>
        <v>1.0857135440242505</v>
      </c>
      <c r="AD17" s="50">
        <f t="shared" si="12"/>
        <v>1.085487969101018</v>
      </c>
      <c r="AE17" s="50">
        <f t="shared" si="12"/>
        <v>1.0852687111004355</v>
      </c>
      <c r="AF17" s="50">
        <f t="shared" si="12"/>
        <v>1.0850555707285987</v>
      </c>
      <c r="AG17" s="50">
        <f t="shared" si="12"/>
        <v>1.08484859790692</v>
      </c>
      <c r="AH17" s="50">
        <f t="shared" si="12"/>
        <v>1.084647576159377</v>
      </c>
      <c r="AI17" s="50">
        <f t="shared" si="12"/>
        <v>1.084452479360978</v>
      </c>
      <c r="AJ17" s="50">
        <f t="shared" si="12"/>
        <v>1.0842631590148524</v>
      </c>
      <c r="AK17" s="50">
        <f t="shared" si="12"/>
        <v>1.0840793984865458</v>
      </c>
      <c r="AL17" s="50">
        <f t="shared" si="12"/>
        <v>1.0839013034273459</v>
      </c>
      <c r="AM17" s="50">
        <f t="shared" si="12"/>
        <v>1.0837285781117161</v>
      </c>
      <c r="AN17" s="50">
        <f t="shared" ref="AN17:BD17" si="13">AM16/AN16</f>
        <v>1.0835612759073405</v>
      </c>
      <c r="AO17" s="50">
        <f t="shared" si="13"/>
        <v>1.0833991048223641</v>
      </c>
      <c r="AP17" s="50">
        <f t="shared" si="13"/>
        <v>1.0832420021952633</v>
      </c>
      <c r="AQ17" s="50">
        <f t="shared" si="13"/>
        <v>1.0830899762641257</v>
      </c>
      <c r="AR17" s="50">
        <f t="shared" si="13"/>
        <v>1.0829427572436032</v>
      </c>
      <c r="AS17" s="50">
        <f t="shared" si="13"/>
        <v>1.0828003162503765</v>
      </c>
      <c r="AT17" s="50">
        <f t="shared" si="13"/>
        <v>1.082662437218922</v>
      </c>
      <c r="AU17" s="50">
        <f t="shared" si="13"/>
        <v>1.0825291593232804</v>
      </c>
      <c r="AV17" s="50">
        <f t="shared" si="13"/>
        <v>1.0824002014928318</v>
      </c>
      <c r="AW17" s="50">
        <f t="shared" si="13"/>
        <v>1.0822755960568284</v>
      </c>
      <c r="AX17" s="50">
        <f t="shared" si="13"/>
        <v>1.0821550697530051</v>
      </c>
      <c r="AY17" s="50">
        <f t="shared" si="13"/>
        <v>1.0820386321268931</v>
      </c>
      <c r="AZ17" s="50">
        <f t="shared" si="13"/>
        <v>1.0819261487289817</v>
      </c>
      <c r="BA17" s="50">
        <f t="shared" si="13"/>
        <v>1.0818174527091464</v>
      </c>
      <c r="BB17" s="50">
        <f t="shared" si="13"/>
        <v>1.0817126004010196</v>
      </c>
      <c r="BC17" s="50">
        <f t="shared" si="13"/>
        <v>1.0816110919711031</v>
      </c>
      <c r="BD17" s="62">
        <f t="shared" si="13"/>
        <v>1.0815133991511707</v>
      </c>
    </row>
    <row r="18" spans="1:150" s="20" customFormat="1" ht="21" thickBot="1">
      <c r="A18" s="66" t="s">
        <v>82</v>
      </c>
      <c r="B18" s="67">
        <v>17</v>
      </c>
      <c r="C18" s="67"/>
      <c r="D18" s="67"/>
      <c r="E18" s="64"/>
      <c r="F18" s="68" t="s">
        <v>109</v>
      </c>
      <c r="G18" s="63">
        <f t="shared" ref="G18:AL18" si="14">(($E$33*G16)*8760/1000000)*25</f>
        <v>93.048008256683445</v>
      </c>
      <c r="H18" s="64">
        <f t="shared" si="14"/>
        <v>91.727163771514981</v>
      </c>
      <c r="I18" s="64">
        <f t="shared" si="14"/>
        <v>81.31112023086547</v>
      </c>
      <c r="J18" s="64">
        <f t="shared" si="14"/>
        <v>72.831469470519892</v>
      </c>
      <c r="K18" s="64">
        <f t="shared" si="14"/>
        <v>65.92264613479621</v>
      </c>
      <c r="L18" s="64">
        <f t="shared" si="14"/>
        <v>60.028690606841892</v>
      </c>
      <c r="M18" s="64">
        <f t="shared" si="14"/>
        <v>54.851240783386359</v>
      </c>
      <c r="N18" s="64">
        <f t="shared" si="14"/>
        <v>50.222536769714488</v>
      </c>
      <c r="O18" s="64">
        <f t="shared" si="14"/>
        <v>46.041818549194282</v>
      </c>
      <c r="P18" s="64">
        <f t="shared" si="14"/>
        <v>42.243345370101885</v>
      </c>
      <c r="Q18" s="64">
        <f t="shared" si="14"/>
        <v>38.78030823806774</v>
      </c>
      <c r="R18" s="64">
        <f t="shared" si="14"/>
        <v>35.616626154556428</v>
      </c>
      <c r="S18" s="64">
        <f t="shared" si="14"/>
        <v>32.722747035141111</v>
      </c>
      <c r="T18" s="64">
        <f t="shared" si="14"/>
        <v>30.073428536682133</v>
      </c>
      <c r="U18" s="64">
        <f t="shared" si="14"/>
        <v>27.646523792953488</v>
      </c>
      <c r="V18" s="64">
        <f t="shared" si="14"/>
        <v>25.422311475677489</v>
      </c>
      <c r="W18" s="64">
        <f t="shared" si="14"/>
        <v>23.383047174682613</v>
      </c>
      <c r="X18" s="64">
        <f t="shared" si="14"/>
        <v>21.51268226280213</v>
      </c>
      <c r="Y18" s="64">
        <f t="shared" si="14"/>
        <v>19.796665007743844</v>
      </c>
      <c r="Z18" s="64">
        <f t="shared" si="14"/>
        <v>18.221765610351561</v>
      </c>
      <c r="AA18" s="64">
        <f t="shared" si="14"/>
        <v>16.775944609451287</v>
      </c>
      <c r="AB18" s="64">
        <f t="shared" si="14"/>
        <v>15.448237736091622</v>
      </c>
      <c r="AC18" s="64">
        <f t="shared" si="14"/>
        <v>14.228649740180982</v>
      </c>
      <c r="AD18" s="64">
        <f t="shared" si="14"/>
        <v>13.108067657318118</v>
      </c>
      <c r="AE18" s="64">
        <f t="shared" si="14"/>
        <v>12.078177066421516</v>
      </c>
      <c r="AF18" s="64">
        <f t="shared" si="14"/>
        <v>11.131390310554508</v>
      </c>
      <c r="AG18" s="64">
        <f t="shared" si="14"/>
        <v>10.260777708549503</v>
      </c>
      <c r="AH18" s="64">
        <f t="shared" si="14"/>
        <v>9.4600107298278733</v>
      </c>
      <c r="AI18" s="64">
        <f t="shared" si="14"/>
        <v>8.7233059169197151</v>
      </c>
      <c r="AJ18" s="64">
        <f t="shared" si="14"/>
        <v>8.0453770326805145</v>
      </c>
      <c r="AK18" s="64">
        <f t="shared" si="14"/>
        <v>7.4213909460067704</v>
      </c>
      <c r="AL18" s="64">
        <f t="shared" si="14"/>
        <v>6.8469250129508925</v>
      </c>
      <c r="AM18" s="64">
        <f t="shared" ref="AM18:BD18" si="15">(($E$33*AM16)*8760/1000000)*25</f>
        <v>6.3179334302330066</v>
      </c>
      <c r="AN18" s="64">
        <f t="shared" si="15"/>
        <v>5.8307117195034177</v>
      </c>
      <c r="AO18" s="64">
        <f t="shared" si="15"/>
        <v>5.3818686886024611</v>
      </c>
      <c r="AP18" s="64">
        <f t="shared" si="15"/>
        <v>4.96829764512061</v>
      </c>
      <c r="AQ18" s="64">
        <f t="shared" si="15"/>
        <v>4.5871513484573372</v>
      </c>
      <c r="AR18" s="64">
        <f t="shared" si="15"/>
        <v>4.2358207003784196</v>
      </c>
      <c r="AS18" s="64">
        <f t="shared" si="15"/>
        <v>3.9119130617237174</v>
      </c>
      <c r="AT18" s="64">
        <f t="shared" si="15"/>
        <v>3.6132343076133724</v>
      </c>
      <c r="AU18" s="64">
        <f t="shared" si="15"/>
        <v>3.3377708826541972</v>
      </c>
      <c r="AV18" s="64">
        <f t="shared" si="15"/>
        <v>3.0836754077196113</v>
      </c>
      <c r="AW18" s="64">
        <f t="shared" si="15"/>
        <v>2.8492515390300759</v>
      </c>
      <c r="AX18" s="64">
        <f t="shared" si="15"/>
        <v>2.6329420049571999</v>
      </c>
      <c r="AY18" s="64">
        <f t="shared" si="15"/>
        <v>2.4333160820531856</v>
      </c>
      <c r="AZ18" s="64">
        <f t="shared" si="15"/>
        <v>2.2490593141794211</v>
      </c>
      <c r="BA18" s="64">
        <f t="shared" si="15"/>
        <v>2.0789637924098967</v>
      </c>
      <c r="BB18" s="64">
        <f t="shared" si="15"/>
        <v>1.9219188087844865</v>
      </c>
      <c r="BC18" s="64">
        <f t="shared" si="15"/>
        <v>1.7769037531614307</v>
      </c>
      <c r="BD18" s="65">
        <f t="shared" si="15"/>
        <v>1.6429789538955681</v>
      </c>
    </row>
    <row r="19" spans="1:150" s="20" customFormat="1" ht="17.25" thickTop="1" thickBot="1">
      <c r="A19" s="60" t="s">
        <v>79</v>
      </c>
      <c r="B19" s="50"/>
      <c r="C19" s="50"/>
      <c r="D19" s="61"/>
      <c r="E19" s="61"/>
      <c r="F19" s="69">
        <v>25</v>
      </c>
      <c r="G19" s="1">
        <v>25.147182464599599</v>
      </c>
      <c r="H19" s="1">
        <v>24.661758422851602</v>
      </c>
      <c r="I19" s="1">
        <v>21.944128036498999</v>
      </c>
      <c r="J19" s="1">
        <v>19.709423065185501</v>
      </c>
      <c r="K19" s="1">
        <v>17.870265960693398</v>
      </c>
      <c r="L19" s="1">
        <v>16.290657043456999</v>
      </c>
      <c r="M19" s="1">
        <v>14.8971347808838</v>
      </c>
      <c r="N19" s="1">
        <v>13.6479845046997</v>
      </c>
      <c r="O19" s="1">
        <v>12.517819404602101</v>
      </c>
      <c r="P19" s="1">
        <v>11.489826202392599</v>
      </c>
      <c r="Q19" s="1">
        <v>10.551856994628899</v>
      </c>
      <c r="R19" s="1">
        <v>9.6944332122802699</v>
      </c>
      <c r="S19" s="1">
        <v>8.9097242355346697</v>
      </c>
      <c r="T19" s="1">
        <v>8.1909980773925799</v>
      </c>
      <c r="U19" s="1">
        <v>7.5323328971862802</v>
      </c>
      <c r="V19" s="1">
        <v>6.9284358024597203</v>
      </c>
      <c r="W19" s="1">
        <v>6.3745403289794904</v>
      </c>
      <c r="X19" s="1">
        <v>5.8663311004638699</v>
      </c>
      <c r="Y19" s="1">
        <v>5.3998918533325204</v>
      </c>
      <c r="Z19" s="1">
        <v>4.97165822982788</v>
      </c>
      <c r="AA19" s="1">
        <v>4.57838678359985</v>
      </c>
      <c r="AB19" s="1">
        <v>4.2171206474304199</v>
      </c>
      <c r="AC19" s="1">
        <v>3.8851635456085201</v>
      </c>
      <c r="AD19" s="1">
        <v>3.58005619049072</v>
      </c>
      <c r="AE19" s="1">
        <v>3.2995533943176301</v>
      </c>
      <c r="AF19" s="1">
        <v>3.0416052341461199</v>
      </c>
      <c r="AG19" s="1">
        <v>2.80433917045593</v>
      </c>
      <c r="AH19" s="1">
        <v>2.5860438346862802</v>
      </c>
      <c r="AI19" s="1">
        <v>2.3851549625396702</v>
      </c>
      <c r="AJ19" s="1">
        <v>2.2002418041229199</v>
      </c>
      <c r="AK19" s="1">
        <v>2.0299959182739298</v>
      </c>
      <c r="AL19" s="1">
        <v>1.87321937084198</v>
      </c>
      <c r="AM19" s="1">
        <v>1.72881603240967</v>
      </c>
      <c r="AN19" s="1">
        <v>1.59578168392181</v>
      </c>
      <c r="AO19" s="1">
        <v>1.4731967449188199</v>
      </c>
      <c r="AP19" s="1">
        <v>1.36021816730499</v>
      </c>
      <c r="AQ19" s="1">
        <v>1.2560734748840301</v>
      </c>
      <c r="AR19" s="1">
        <v>1.1600540876388501</v>
      </c>
      <c r="AS19" s="1">
        <v>1.07151031494141</v>
      </c>
      <c r="AT19" s="1">
        <v>0.989845931529999</v>
      </c>
      <c r="AU19" s="1">
        <v>0.91451370716095004</v>
      </c>
      <c r="AV19" s="1">
        <v>0.84501123428344704</v>
      </c>
      <c r="AW19" s="1">
        <v>0.78087723255157504</v>
      </c>
      <c r="AX19" s="1">
        <v>0.721687972545624</v>
      </c>
      <c r="AY19" s="1">
        <v>0.66705399751663197</v>
      </c>
      <c r="AZ19" s="1">
        <v>0.61661750078201305</v>
      </c>
      <c r="BA19" s="1">
        <v>0.57004940509796098</v>
      </c>
      <c r="BB19" s="1">
        <v>0.52704727649688698</v>
      </c>
      <c r="BC19" s="1">
        <v>0.48733279109001199</v>
      </c>
      <c r="BD19" s="1">
        <v>0.45064997673034701</v>
      </c>
    </row>
    <row r="20" spans="1:150" s="20" customFormat="1" ht="18.75" thickTop="1">
      <c r="A20" s="55" t="s">
        <v>71</v>
      </c>
      <c r="B20" s="50">
        <v>20</v>
      </c>
      <c r="C20" s="50"/>
      <c r="E20" s="50"/>
      <c r="F20" s="56" t="s">
        <v>1</v>
      </c>
      <c r="G20" s="57">
        <f>G19/F19</f>
        <v>1.005887298583984</v>
      </c>
      <c r="H20" s="58">
        <f>H19/F19</f>
        <v>0.98647033691406405</v>
      </c>
      <c r="I20" s="58">
        <f>I19/F19</f>
        <v>0.87776512145996</v>
      </c>
      <c r="J20" s="58">
        <f>J19/F19</f>
        <v>0.78837692260741998</v>
      </c>
      <c r="K20" s="58">
        <f>K19/F19</f>
        <v>0.71481063842773596</v>
      </c>
      <c r="L20" s="58">
        <f>L19/F19</f>
        <v>0.65162628173827997</v>
      </c>
      <c r="M20" s="58">
        <f>M19/F19</f>
        <v>0.595885391235352</v>
      </c>
      <c r="N20" s="58">
        <f>N19/F19</f>
        <v>0.54591938018798802</v>
      </c>
      <c r="O20" s="58">
        <f>O19/F19</f>
        <v>0.50071277618408405</v>
      </c>
      <c r="P20" s="58">
        <f>P19/F19</f>
        <v>0.459593048095704</v>
      </c>
      <c r="Q20" s="58">
        <f>Q19/F19</f>
        <v>0.42207427978515599</v>
      </c>
      <c r="R20" s="58">
        <f>R19/F19</f>
        <v>0.38777732849121077</v>
      </c>
      <c r="S20" s="58">
        <f>S19/F19</f>
        <v>0.35638896942138681</v>
      </c>
      <c r="T20" s="58">
        <f>T19/F19</f>
        <v>0.32763992309570322</v>
      </c>
      <c r="U20" s="58">
        <f>U19/F19</f>
        <v>0.30129331588745123</v>
      </c>
      <c r="V20" s="58">
        <f>V19/F19</f>
        <v>0.27713743209838881</v>
      </c>
      <c r="W20" s="58">
        <f>W19/F19</f>
        <v>0.25498161315917961</v>
      </c>
      <c r="X20" s="58">
        <f>X19/F19</f>
        <v>0.23465324401855481</v>
      </c>
      <c r="Y20" s="58">
        <f>Y19/F19</f>
        <v>0.21599567413330081</v>
      </c>
      <c r="Z20" s="58">
        <f>Z19/F19</f>
        <v>0.1988663291931152</v>
      </c>
      <c r="AA20" s="58">
        <f>AA19/F19</f>
        <v>0.18313547134399399</v>
      </c>
      <c r="AB20" s="58">
        <f>AB19/F19</f>
        <v>0.16868482589721678</v>
      </c>
      <c r="AC20" s="58">
        <f>AC19/F19</f>
        <v>0.1554065418243408</v>
      </c>
      <c r="AD20" s="58">
        <f>AD19/F19</f>
        <v>0.1432022476196288</v>
      </c>
      <c r="AE20" s="58">
        <f>AE19/F19</f>
        <v>0.13198213577270521</v>
      </c>
      <c r="AF20" s="58">
        <f>AF19/F19</f>
        <v>0.12166420936584479</v>
      </c>
      <c r="AG20" s="58">
        <f>AG19/F19</f>
        <v>0.1121735668182372</v>
      </c>
      <c r="AH20" s="58">
        <f>AH19/F19</f>
        <v>0.10344175338745121</v>
      </c>
      <c r="AI20" s="58">
        <f>AI19/F19</f>
        <v>9.5406198501586811E-2</v>
      </c>
      <c r="AJ20" s="58">
        <f>AJ19/F19</f>
        <v>8.80096721649168E-2</v>
      </c>
      <c r="AK20" s="58">
        <f>AK19/F19</f>
        <v>8.1199836730957195E-2</v>
      </c>
      <c r="AL20" s="58">
        <f>AL19/F19</f>
        <v>7.4928774833679199E-2</v>
      </c>
      <c r="AM20" s="58">
        <f>AM19/F19</f>
        <v>6.9152641296386805E-2</v>
      </c>
      <c r="AN20" s="58">
        <f>AN19/F19</f>
        <v>6.3831267356872404E-2</v>
      </c>
      <c r="AO20" s="58">
        <f>AO19/F19</f>
        <v>5.8927869796752796E-2</v>
      </c>
      <c r="AP20" s="58">
        <f>AP19/F19</f>
        <v>5.4408726692199601E-2</v>
      </c>
      <c r="AQ20" s="58">
        <f>AQ19/F19</f>
        <v>5.0242938995361204E-2</v>
      </c>
      <c r="AR20" s="58">
        <f>AR19/F19</f>
        <v>4.6402163505554005E-2</v>
      </c>
      <c r="AS20" s="58">
        <f>AS19/F19</f>
        <v>4.2860412597656404E-2</v>
      </c>
      <c r="AT20" s="58">
        <f>AT19/F19</f>
        <v>3.9593837261199957E-2</v>
      </c>
      <c r="AU20" s="58">
        <f>AU19/F19</f>
        <v>3.6580548286438003E-2</v>
      </c>
      <c r="AV20" s="58">
        <f>AV19/F19</f>
        <v>3.380044937133788E-2</v>
      </c>
      <c r="AW20" s="58">
        <f>AW19/F19</f>
        <v>3.1235089302063E-2</v>
      </c>
      <c r="AX20" s="58">
        <f>AX19/F19</f>
        <v>2.886751890182496E-2</v>
      </c>
      <c r="AY20" s="58">
        <f>AY19/F19</f>
        <v>2.6682159900665279E-2</v>
      </c>
      <c r="AZ20" s="58">
        <f>AZ19/F19</f>
        <v>2.4664700031280521E-2</v>
      </c>
      <c r="BA20" s="58">
        <f>BA19/F19</f>
        <v>2.2801976203918439E-2</v>
      </c>
      <c r="BB20" s="58">
        <f>BB19/F19</f>
        <v>2.1081891059875478E-2</v>
      </c>
      <c r="BC20" s="58">
        <f>BC19/F19</f>
        <v>1.9493311643600478E-2</v>
      </c>
      <c r="BD20" s="59">
        <f>BD19/F19</f>
        <v>1.8025999069213882E-2</v>
      </c>
    </row>
    <row r="21" spans="1:150" s="20" customFormat="1" hidden="1">
      <c r="A21" s="55" t="s">
        <v>7</v>
      </c>
      <c r="B21" s="50">
        <v>21</v>
      </c>
      <c r="C21" s="50"/>
      <c r="D21" s="50"/>
      <c r="E21" s="50"/>
      <c r="F21" s="56"/>
      <c r="G21" s="55"/>
      <c r="H21" s="50">
        <f t="shared" ref="H21:AM21" si="16">G20/H20</f>
        <v>1.0196832696770803</v>
      </c>
      <c r="I21" s="50">
        <f t="shared" si="16"/>
        <v>1.1238431703384364</v>
      </c>
      <c r="J21" s="50">
        <f t="shared" si="16"/>
        <v>1.1133825664973855</v>
      </c>
      <c r="K21" s="50">
        <f t="shared" si="16"/>
        <v>1.1029171646654519</v>
      </c>
      <c r="L21" s="50">
        <f t="shared" si="16"/>
        <v>1.096964101142307</v>
      </c>
      <c r="M21" s="50">
        <f t="shared" si="16"/>
        <v>1.0935429720593912</v>
      </c>
      <c r="N21" s="50">
        <f t="shared" si="16"/>
        <v>1.091526355100561</v>
      </c>
      <c r="O21" s="50">
        <f t="shared" si="16"/>
        <v>1.090284502721145</v>
      </c>
      <c r="P21" s="50">
        <f t="shared" si="16"/>
        <v>1.0894698652617945</v>
      </c>
      <c r="Q21" s="50">
        <f t="shared" si="16"/>
        <v>1.0888913873871817</v>
      </c>
      <c r="R21" s="50">
        <f t="shared" si="16"/>
        <v>1.0884449625443293</v>
      </c>
      <c r="S21" s="50">
        <f t="shared" si="16"/>
        <v>1.0880733180961923</v>
      </c>
      <c r="T21" s="50">
        <f t="shared" si="16"/>
        <v>1.0877458584840591</v>
      </c>
      <c r="U21" s="50">
        <f t="shared" si="16"/>
        <v>1.0874450438127006</v>
      </c>
      <c r="V21" s="50">
        <f t="shared" si="16"/>
        <v>1.0871621116143078</v>
      </c>
      <c r="W21" s="50">
        <f t="shared" si="16"/>
        <v>1.086891829825305</v>
      </c>
      <c r="X21" s="50">
        <f t="shared" si="16"/>
        <v>1.086631528260557</v>
      </c>
      <c r="Y21" s="50">
        <f t="shared" si="16"/>
        <v>1.0863793682911425</v>
      </c>
      <c r="Z21" s="50">
        <f t="shared" si="16"/>
        <v>1.0861349681954036</v>
      </c>
      <c r="AA21" s="50">
        <f t="shared" si="16"/>
        <v>1.0858973836891108</v>
      </c>
      <c r="AB21" s="50">
        <f t="shared" si="16"/>
        <v>1.0856665403655352</v>
      </c>
      <c r="AC21" s="50">
        <f t="shared" si="16"/>
        <v>1.0854422466197382</v>
      </c>
      <c r="AD21" s="50">
        <f t="shared" si="16"/>
        <v>1.0852241805389033</v>
      </c>
      <c r="AE21" s="50">
        <f t="shared" si="16"/>
        <v>1.0850123524765993</v>
      </c>
      <c r="AF21" s="50">
        <f t="shared" si="16"/>
        <v>1.0848065874149921</v>
      </c>
      <c r="AG21" s="50">
        <f t="shared" si="16"/>
        <v>1.0846067644705097</v>
      </c>
      <c r="AH21" s="50">
        <f t="shared" si="16"/>
        <v>1.0844128521108893</v>
      </c>
      <c r="AI21" s="50">
        <f t="shared" si="16"/>
        <v>1.0842246626746244</v>
      </c>
      <c r="AJ21" s="50">
        <f t="shared" si="16"/>
        <v>1.0840421984848443</v>
      </c>
      <c r="AK21" s="50">
        <f t="shared" si="16"/>
        <v>1.0838651370263577</v>
      </c>
      <c r="AL21" s="50">
        <f t="shared" si="16"/>
        <v>1.0836936398759753</v>
      </c>
      <c r="AM21" s="50">
        <f t="shared" si="16"/>
        <v>1.0835273017632978</v>
      </c>
      <c r="AN21" s="50">
        <f t="shared" ref="AN21:BD21" si="17">AM20/AN20</f>
        <v>1.0833662585729855</v>
      </c>
      <c r="AO21" s="50">
        <f t="shared" si="17"/>
        <v>1.08321016145725</v>
      </c>
      <c r="AP21" s="50">
        <f t="shared" si="17"/>
        <v>1.0830591594271051</v>
      </c>
      <c r="AQ21" s="50">
        <f t="shared" si="17"/>
        <v>1.0829128984119145</v>
      </c>
      <c r="AR21" s="50">
        <f t="shared" si="17"/>
        <v>1.0827714744237622</v>
      </c>
      <c r="AS21" s="50">
        <f t="shared" si="17"/>
        <v>1.0826345500017716</v>
      </c>
      <c r="AT21" s="50">
        <f t="shared" si="17"/>
        <v>1.08250211554154</v>
      </c>
      <c r="AU21" s="50">
        <f t="shared" si="17"/>
        <v>1.0823740790096115</v>
      </c>
      <c r="AV21" s="50">
        <f t="shared" si="17"/>
        <v>1.082250353673037</v>
      </c>
      <c r="AW21" s="50">
        <f t="shared" si="17"/>
        <v>1.0821307102555793</v>
      </c>
      <c r="AX21" s="50">
        <f t="shared" si="17"/>
        <v>1.0820150290120141</v>
      </c>
      <c r="AY21" s="50">
        <f t="shared" si="17"/>
        <v>1.0819033769865531</v>
      </c>
      <c r="AZ21" s="50">
        <f t="shared" si="17"/>
        <v>1.0817954350479086</v>
      </c>
      <c r="BA21" s="50">
        <f t="shared" si="17"/>
        <v>1.0816913328346505</v>
      </c>
      <c r="BB21" s="50">
        <f t="shared" si="17"/>
        <v>1.0815906475921768</v>
      </c>
      <c r="BC21" s="50">
        <f t="shared" si="17"/>
        <v>1.0814935627829312</v>
      </c>
      <c r="BD21" s="62">
        <f t="shared" si="17"/>
        <v>1.0813997919756126</v>
      </c>
    </row>
    <row r="22" spans="1:150" s="20" customFormat="1" ht="21" thickBot="1">
      <c r="A22" s="66" t="s">
        <v>82</v>
      </c>
      <c r="B22" s="67">
        <v>22</v>
      </c>
      <c r="C22" s="67"/>
      <c r="D22" s="67"/>
      <c r="E22" s="64"/>
      <c r="F22" s="68" t="s">
        <v>109</v>
      </c>
      <c r="G22" s="63">
        <f>(($E$33*G20)*8760/1000000)*25</f>
        <v>78.863575983581498</v>
      </c>
      <c r="H22" s="64">
        <f t="shared" ref="H22:AL22" si="18">(($E$33*H20)*8760/1000000)*25</f>
        <v>77.341247354736439</v>
      </c>
      <c r="I22" s="64">
        <f t="shared" si="18"/>
        <v>68.818541052703779</v>
      </c>
      <c r="J22" s="64">
        <f t="shared" si="18"/>
        <v>61.810327486266935</v>
      </c>
      <c r="K22" s="64">
        <f t="shared" si="18"/>
        <v>56.042583674011361</v>
      </c>
      <c r="L22" s="64">
        <f t="shared" si="18"/>
        <v>51.088803740844625</v>
      </c>
      <c r="M22" s="64">
        <f t="shared" si="18"/>
        <v>46.718606443634066</v>
      </c>
      <c r="N22" s="64">
        <f t="shared" si="18"/>
        <v>42.801171245498644</v>
      </c>
      <c r="O22" s="64">
        <f t="shared" si="18"/>
        <v>39.256883078384561</v>
      </c>
      <c r="P22" s="64">
        <f t="shared" si="18"/>
        <v>36.033014156799389</v>
      </c>
      <c r="Q22" s="64">
        <f t="shared" si="18"/>
        <v>33.091467683715805</v>
      </c>
      <c r="R22" s="64">
        <f t="shared" si="18"/>
        <v>30.402518108367911</v>
      </c>
      <c r="S22" s="64">
        <f t="shared" si="18"/>
        <v>27.941607980575572</v>
      </c>
      <c r="T22" s="64">
        <f t="shared" si="18"/>
        <v>25.687625250549324</v>
      </c>
      <c r="U22" s="64">
        <f t="shared" si="18"/>
        <v>23.621998552207952</v>
      </c>
      <c r="V22" s="64">
        <f t="shared" si="18"/>
        <v>21.728128951377883</v>
      </c>
      <c r="W22" s="64">
        <f t="shared" si="18"/>
        <v>19.991068434906001</v>
      </c>
      <c r="X22" s="64">
        <f t="shared" si="18"/>
        <v>18.397283637542735</v>
      </c>
      <c r="Y22" s="64">
        <f t="shared" si="18"/>
        <v>16.934492843399049</v>
      </c>
      <c r="Z22" s="64">
        <f t="shared" si="18"/>
        <v>15.591517941398619</v>
      </c>
      <c r="AA22" s="64">
        <f t="shared" si="18"/>
        <v>14.35818722431182</v>
      </c>
      <c r="AB22" s="64">
        <f t="shared" si="18"/>
        <v>13.22522771999359</v>
      </c>
      <c r="AC22" s="64">
        <f t="shared" si="18"/>
        <v>12.184183692111969</v>
      </c>
      <c r="AD22" s="64">
        <f t="shared" si="18"/>
        <v>11.227342617874136</v>
      </c>
      <c r="AE22" s="64">
        <f t="shared" si="18"/>
        <v>10.347663408851632</v>
      </c>
      <c r="AF22" s="64">
        <f t="shared" si="18"/>
        <v>9.5387173427009646</v>
      </c>
      <c r="AG22" s="64">
        <f t="shared" si="18"/>
        <v>8.7946319856834343</v>
      </c>
      <c r="AH22" s="64">
        <f t="shared" si="18"/>
        <v>8.1100403490829507</v>
      </c>
      <c r="AI22" s="64">
        <f t="shared" si="18"/>
        <v>7.4800367749214089</v>
      </c>
      <c r="AJ22" s="64">
        <f t="shared" si="18"/>
        <v>6.9001343170738068</v>
      </c>
      <c r="AK22" s="64">
        <f t="shared" si="18"/>
        <v>6.3662295993805058</v>
      </c>
      <c r="AL22" s="64">
        <f t="shared" si="18"/>
        <v>5.8745658045101168</v>
      </c>
      <c r="AM22" s="64">
        <f t="shared" ref="AM22:BD22" si="19">(($E$33*AM20)*8760/1000000)*25</f>
        <v>5.4217053829193178</v>
      </c>
      <c r="AN22" s="64">
        <f t="shared" si="19"/>
        <v>5.0044990233135103</v>
      </c>
      <c r="AO22" s="64">
        <f t="shared" si="19"/>
        <v>4.6200628478050119</v>
      </c>
      <c r="AP22" s="64">
        <f t="shared" si="19"/>
        <v>4.2657529901218325</v>
      </c>
      <c r="AQ22" s="64">
        <f t="shared" si="19"/>
        <v>3.9391469031143087</v>
      </c>
      <c r="AR22" s="64">
        <f t="shared" si="19"/>
        <v>3.638022423162445</v>
      </c>
      <c r="AS22" s="64">
        <f t="shared" si="19"/>
        <v>3.3603420684814567</v>
      </c>
      <c r="AT22" s="64">
        <f t="shared" si="19"/>
        <v>3.1042360289525992</v>
      </c>
      <c r="AU22" s="64">
        <f t="shared" si="19"/>
        <v>2.8679881467533122</v>
      </c>
      <c r="AV22" s="64">
        <f t="shared" si="19"/>
        <v>2.6500228316116323</v>
      </c>
      <c r="AW22" s="64">
        <f t="shared" si="19"/>
        <v>2.4488934714603428</v>
      </c>
      <c r="AX22" s="64">
        <f t="shared" si="19"/>
        <v>2.2632712169408804</v>
      </c>
      <c r="AY22" s="64">
        <f t="shared" si="19"/>
        <v>2.0919347005319593</v>
      </c>
      <c r="AZ22" s="64">
        <f t="shared" si="19"/>
        <v>1.9337618118524555</v>
      </c>
      <c r="BA22" s="64">
        <f t="shared" si="19"/>
        <v>1.7877205383396131</v>
      </c>
      <c r="BB22" s="64">
        <f t="shared" si="19"/>
        <v>1.6528624228763573</v>
      </c>
      <c r="BC22" s="64">
        <f t="shared" si="19"/>
        <v>1.5283146194815647</v>
      </c>
      <c r="BD22" s="65">
        <f t="shared" si="19"/>
        <v>1.4132743790245068</v>
      </c>
    </row>
    <row r="23" spans="1:150" s="20" customFormat="1" ht="17.25" thickTop="1" thickBot="1">
      <c r="A23" s="60" t="s">
        <v>80</v>
      </c>
      <c r="B23" s="61"/>
      <c r="C23" s="61"/>
      <c r="D23" s="61"/>
      <c r="E23" s="61"/>
      <c r="F23" s="69">
        <v>25</v>
      </c>
      <c r="G23" s="1">
        <v>21.6479377746582</v>
      </c>
      <c r="H23" s="1">
        <v>21.1373805999756</v>
      </c>
      <c r="I23" s="1">
        <v>18.8511257171631</v>
      </c>
      <c r="J23" s="1">
        <v>16.9604167938232</v>
      </c>
      <c r="K23" s="1">
        <v>15.3945665359497</v>
      </c>
      <c r="L23" s="1">
        <v>14.0440664291382</v>
      </c>
      <c r="M23" s="1">
        <v>12.8494920730591</v>
      </c>
      <c r="N23" s="1">
        <v>11.7768802642822</v>
      </c>
      <c r="O23" s="1">
        <v>10.805377960205099</v>
      </c>
      <c r="P23" s="1">
        <v>9.9210414886474592</v>
      </c>
      <c r="Q23" s="1">
        <v>9.1137008666992205</v>
      </c>
      <c r="R23" s="1">
        <v>8.3753595352172905</v>
      </c>
      <c r="S23" s="1">
        <v>7.6993761062622097</v>
      </c>
      <c r="T23" s="1">
        <v>7.0800209045410201</v>
      </c>
      <c r="U23" s="1">
        <v>6.5122399330139196</v>
      </c>
      <c r="V23" s="1">
        <v>5.9915108680725098</v>
      </c>
      <c r="W23" s="1">
        <v>5.5137567520141602</v>
      </c>
      <c r="X23" s="1">
        <v>5.0752835273742702</v>
      </c>
      <c r="Y23" s="1">
        <v>4.6727356910705602</v>
      </c>
      <c r="Z23" s="1">
        <v>4.30306053161621</v>
      </c>
      <c r="AA23" s="1">
        <v>3.9634757041931201</v>
      </c>
      <c r="AB23" s="1">
        <v>3.65144610404968</v>
      </c>
      <c r="AC23" s="1">
        <v>3.3646583557128902</v>
      </c>
      <c r="AD23" s="1">
        <v>3.10100173950195</v>
      </c>
      <c r="AE23" s="1">
        <v>2.8585481643676798</v>
      </c>
      <c r="AF23" s="1">
        <v>2.63553714752197</v>
      </c>
      <c r="AG23" s="1">
        <v>2.43035984039307</v>
      </c>
      <c r="AH23" s="1">
        <v>2.24154496192932</v>
      </c>
      <c r="AI23" s="1">
        <v>2.06774806976318</v>
      </c>
      <c r="AJ23" s="1">
        <v>1.90773808956146</v>
      </c>
      <c r="AK23" s="1">
        <v>1.7603895664215099</v>
      </c>
      <c r="AL23" s="1">
        <v>1.624671459198</v>
      </c>
      <c r="AM23" s="1">
        <v>1.49963998794556</v>
      </c>
      <c r="AN23" s="1">
        <v>1.3844304084777801</v>
      </c>
      <c r="AO23" s="1">
        <v>1.2782502174377399</v>
      </c>
      <c r="AP23" s="1">
        <v>1.1803733110427901</v>
      </c>
      <c r="AQ23" s="1">
        <v>1.0901336669921899</v>
      </c>
      <c r="AR23" s="1">
        <v>1.006920337677</v>
      </c>
      <c r="AS23" s="1">
        <v>0.93017280101776101</v>
      </c>
      <c r="AT23" s="1">
        <v>0.85937684774398804</v>
      </c>
      <c r="AU23" s="1">
        <v>0.79406023025512695</v>
      </c>
      <c r="AV23" s="1">
        <v>0.73378920555114702</v>
      </c>
      <c r="AW23" s="1">
        <v>0.67816543579101596</v>
      </c>
      <c r="AX23" s="1">
        <v>0.62682300806045499</v>
      </c>
      <c r="AY23" s="1">
        <v>0.57942545413970903</v>
      </c>
      <c r="AZ23" s="1">
        <v>0.53566360473632801</v>
      </c>
      <c r="BA23" s="1">
        <v>0.495253056287766</v>
      </c>
      <c r="BB23" s="1">
        <v>0.45793229341507002</v>
      </c>
      <c r="BC23" s="1">
        <v>0.42346066236495999</v>
      </c>
      <c r="BD23" s="1">
        <v>0.39161679148674</v>
      </c>
    </row>
    <row r="24" spans="1:150" s="20" customFormat="1" ht="15.75" customHeight="1" thickTop="1">
      <c r="A24" s="55" t="s">
        <v>71</v>
      </c>
      <c r="B24" s="50">
        <v>25</v>
      </c>
      <c r="C24" s="50"/>
      <c r="E24" s="50"/>
      <c r="F24" s="56" t="s">
        <v>1</v>
      </c>
      <c r="G24" s="57">
        <f>G23/F23</f>
        <v>0.86591751098632797</v>
      </c>
      <c r="H24" s="58">
        <f>H23/F23</f>
        <v>0.84549522399902399</v>
      </c>
      <c r="I24" s="58">
        <f>I23/F23</f>
        <v>0.75404502868652401</v>
      </c>
      <c r="J24" s="58">
        <f>J23/F23</f>
        <v>0.67841667175292797</v>
      </c>
      <c r="K24" s="58">
        <f>K23/F23</f>
        <v>0.61578266143798799</v>
      </c>
      <c r="L24" s="58">
        <f>L23/F23</f>
        <v>0.56176265716552798</v>
      </c>
      <c r="M24" s="58">
        <f>M23/F23</f>
        <v>0.51397968292236396</v>
      </c>
      <c r="N24" s="58">
        <f>N23/F23</f>
        <v>0.47107521057128798</v>
      </c>
      <c r="O24" s="58">
        <f>O23/F23</f>
        <v>0.43221511840820398</v>
      </c>
      <c r="P24" s="58">
        <f>P23/F23</f>
        <v>0.39684165954589834</v>
      </c>
      <c r="Q24" s="58">
        <f>Q23/F23</f>
        <v>0.36454803466796881</v>
      </c>
      <c r="R24" s="58">
        <f>R23/F23</f>
        <v>0.33501438140869161</v>
      </c>
      <c r="S24" s="58">
        <f>S23/F23</f>
        <v>0.30797504425048838</v>
      </c>
      <c r="T24" s="58">
        <f>T23/F23</f>
        <v>0.28320083618164082</v>
      </c>
      <c r="U24" s="58">
        <f>U23/F23</f>
        <v>0.26048959732055676</v>
      </c>
      <c r="V24" s="58">
        <f>V23/F23</f>
        <v>0.23966043472290038</v>
      </c>
      <c r="W24" s="58">
        <f>W23/F23</f>
        <v>0.22055027008056641</v>
      </c>
      <c r="X24" s="58">
        <f>X23/F23</f>
        <v>0.20301134109497082</v>
      </c>
      <c r="Y24" s="58">
        <f>Y23/F23</f>
        <v>0.1869094276428224</v>
      </c>
      <c r="Z24" s="58">
        <f>Z23/F23</f>
        <v>0.17212242126464841</v>
      </c>
      <c r="AA24" s="58">
        <f>AA23/F23</f>
        <v>0.1585390281677248</v>
      </c>
      <c r="AB24" s="58">
        <f>AB23/F23</f>
        <v>0.14605784416198719</v>
      </c>
      <c r="AC24" s="58">
        <f>AC23/F23</f>
        <v>0.1345863342285156</v>
      </c>
      <c r="AD24" s="58">
        <f>AD23/F23</f>
        <v>0.124040069580078</v>
      </c>
      <c r="AE24" s="58">
        <f>AE23/F23</f>
        <v>0.1143419265747072</v>
      </c>
      <c r="AF24" s="58">
        <f>AF23/F23</f>
        <v>0.1054214859008788</v>
      </c>
      <c r="AG24" s="58">
        <f>AG23/F23</f>
        <v>9.7214393615722802E-2</v>
      </c>
      <c r="AH24" s="58">
        <f>AH23/F23</f>
        <v>8.9661798477172802E-2</v>
      </c>
      <c r="AI24" s="58">
        <f>AI23/F23</f>
        <v>8.2709922790527204E-2</v>
      </c>
      <c r="AJ24" s="58">
        <f>AJ23/F23</f>
        <v>7.6309523582458405E-2</v>
      </c>
      <c r="AK24" s="58">
        <f>AK23/F23</f>
        <v>7.041558265686039E-2</v>
      </c>
      <c r="AL24" s="58">
        <f>AL23/F23</f>
        <v>6.4986858367920008E-2</v>
      </c>
      <c r="AM24" s="58">
        <f>AM23/F23</f>
        <v>5.9985599517822397E-2</v>
      </c>
      <c r="AN24" s="58">
        <f>AN23/F23</f>
        <v>5.5377216339111204E-2</v>
      </c>
      <c r="AO24" s="58">
        <f>AO23/F23</f>
        <v>5.1130008697509596E-2</v>
      </c>
      <c r="AP24" s="58">
        <f>AP23/F23</f>
        <v>4.7214932441711606E-2</v>
      </c>
      <c r="AQ24" s="58">
        <f>AQ23/F23</f>
        <v>4.3605346679687601E-2</v>
      </c>
      <c r="AR24" s="58">
        <f>AR23/F23</f>
        <v>4.0276813507079998E-2</v>
      </c>
      <c r="AS24" s="58">
        <f>AS23/F23</f>
        <v>3.7206912040710444E-2</v>
      </c>
      <c r="AT24" s="58">
        <f>AT23/F23</f>
        <v>3.4375073909759524E-2</v>
      </c>
      <c r="AU24" s="58">
        <f>AU23/F23</f>
        <v>3.1762409210205081E-2</v>
      </c>
      <c r="AV24" s="58">
        <f>AV23/F23</f>
        <v>2.935156822204588E-2</v>
      </c>
      <c r="AW24" s="58">
        <f>AW23/F23</f>
        <v>2.7126617431640639E-2</v>
      </c>
      <c r="AX24" s="58">
        <f>AX23/F23</f>
        <v>2.5072920322418198E-2</v>
      </c>
      <c r="AY24" s="58">
        <f>AY23/F23</f>
        <v>2.317701816558836E-2</v>
      </c>
      <c r="AZ24" s="58">
        <f>AZ23/F23</f>
        <v>2.1426544189453122E-2</v>
      </c>
      <c r="BA24" s="58">
        <f>BA23/F23</f>
        <v>1.9810122251510642E-2</v>
      </c>
      <c r="BB24" s="58">
        <f>BB23/F23</f>
        <v>1.8317291736602802E-2</v>
      </c>
      <c r="BC24" s="58">
        <f>BC23/F23</f>
        <v>1.69384264945984E-2</v>
      </c>
      <c r="BD24" s="59">
        <f>BD23/F23</f>
        <v>1.5664671659469599E-2</v>
      </c>
    </row>
    <row r="25" spans="1:150" s="20" customFormat="1" hidden="1">
      <c r="A25" s="55" t="s">
        <v>7</v>
      </c>
      <c r="B25" s="50">
        <v>26</v>
      </c>
      <c r="C25" s="50"/>
      <c r="D25" s="50"/>
      <c r="E25" s="50"/>
      <c r="F25" s="56"/>
      <c r="G25" s="55"/>
      <c r="H25" s="50">
        <f t="shared" ref="H25:AM25" si="20">G24/H24</f>
        <v>1.0241542310442755</v>
      </c>
      <c r="I25" s="50">
        <f t="shared" si="20"/>
        <v>1.1212794884037598</v>
      </c>
      <c r="J25" s="50">
        <f t="shared" si="20"/>
        <v>1.1114777393930837</v>
      </c>
      <c r="K25" s="50">
        <f t="shared" si="20"/>
        <v>1.10171447531289</v>
      </c>
      <c r="L25" s="50">
        <f t="shared" si="20"/>
        <v>1.0961616148446525</v>
      </c>
      <c r="M25" s="50">
        <f t="shared" si="20"/>
        <v>1.0929666596381429</v>
      </c>
      <c r="N25" s="50">
        <f t="shared" si="20"/>
        <v>1.0910777544397727</v>
      </c>
      <c r="O25" s="50">
        <f t="shared" si="20"/>
        <v>1.0899091459507502</v>
      </c>
      <c r="P25" s="50">
        <f t="shared" si="20"/>
        <v>1.0891374632965276</v>
      </c>
      <c r="Q25" s="50">
        <f t="shared" si="20"/>
        <v>1.0885853764301394</v>
      </c>
      <c r="R25" s="50">
        <f t="shared" si="20"/>
        <v>1.0881563744669469</v>
      </c>
      <c r="S25" s="50">
        <f t="shared" si="20"/>
        <v>1.0877971694882234</v>
      </c>
      <c r="T25" s="50">
        <f t="shared" si="20"/>
        <v>1.0874792899727095</v>
      </c>
      <c r="U25" s="50">
        <f t="shared" si="20"/>
        <v>1.0871867402564095</v>
      </c>
      <c r="V25" s="50">
        <f t="shared" si="20"/>
        <v>1.086911144185061</v>
      </c>
      <c r="W25" s="50">
        <f t="shared" si="20"/>
        <v>1.0866476592177969</v>
      </c>
      <c r="X25" s="50">
        <f t="shared" si="20"/>
        <v>1.0863938383491132</v>
      </c>
      <c r="Y25" s="50">
        <f t="shared" si="20"/>
        <v>1.0861482144331351</v>
      </c>
      <c r="Z25" s="50">
        <f t="shared" si="20"/>
        <v>1.0859098208677769</v>
      </c>
      <c r="AA25" s="50">
        <f t="shared" si="20"/>
        <v>1.0856785439769012</v>
      </c>
      <c r="AB25" s="50">
        <f t="shared" si="20"/>
        <v>1.0854537055325506</v>
      </c>
      <c r="AC25" s="50">
        <f t="shared" si="20"/>
        <v>1.0852353249624438</v>
      </c>
      <c r="AD25" s="50">
        <f t="shared" si="20"/>
        <v>1.0850230468601045</v>
      </c>
      <c r="AE25" s="50">
        <f t="shared" si="20"/>
        <v>1.0848170334005556</v>
      </c>
      <c r="AF25" s="50">
        <f t="shared" si="20"/>
        <v>1.0846169127441034</v>
      </c>
      <c r="AG25" s="50">
        <f t="shared" si="20"/>
        <v>1.0844226043069063</v>
      </c>
      <c r="AH25" s="50">
        <f t="shared" si="20"/>
        <v>1.0842342588128302</v>
      </c>
      <c r="AI25" s="50">
        <f t="shared" si="20"/>
        <v>1.0840512897618348</v>
      </c>
      <c r="AJ25" s="50">
        <f t="shared" si="20"/>
        <v>1.0838741864395558</v>
      </c>
      <c r="AK25" s="50">
        <f t="shared" si="20"/>
        <v>1.0837022247521484</v>
      </c>
      <c r="AL25" s="50">
        <f t="shared" si="20"/>
        <v>1.0835357243799342</v>
      </c>
      <c r="AM25" s="50">
        <f t="shared" si="20"/>
        <v>1.0833743246762364</v>
      </c>
      <c r="AN25" s="50">
        <f t="shared" ref="AN25:BD25" si="21">AM24/AN24</f>
        <v>1.0832180359245764</v>
      </c>
      <c r="AO25" s="50">
        <f t="shared" si="21"/>
        <v>1.0830668280682001</v>
      </c>
      <c r="AP25" s="50">
        <f t="shared" si="21"/>
        <v>1.0829202977390953</v>
      </c>
      <c r="AQ25" s="50">
        <f t="shared" si="21"/>
        <v>1.0827785131153522</v>
      </c>
      <c r="AR25" s="50">
        <f t="shared" si="21"/>
        <v>1.0826414227635586</v>
      </c>
      <c r="AS25" s="50">
        <f t="shared" si="21"/>
        <v>1.0825089021902861</v>
      </c>
      <c r="AT25" s="50">
        <f t="shared" si="21"/>
        <v>1.0823805685010301</v>
      </c>
      <c r="AU25" s="50">
        <f t="shared" si="21"/>
        <v>1.0822565027187865</v>
      </c>
      <c r="AV25" s="50">
        <f t="shared" si="21"/>
        <v>1.0821367011779774</v>
      </c>
      <c r="AW25" s="50">
        <f t="shared" si="21"/>
        <v>1.0820209447791322</v>
      </c>
      <c r="AX25" s="50">
        <f t="shared" si="21"/>
        <v>1.0819089712252701</v>
      </c>
      <c r="AY25" s="50">
        <f t="shared" si="21"/>
        <v>1.0818009522745573</v>
      </c>
      <c r="AZ25" s="50">
        <f t="shared" si="21"/>
        <v>1.0816965144102371</v>
      </c>
      <c r="BA25" s="50">
        <f t="shared" si="21"/>
        <v>1.0815957578363364</v>
      </c>
      <c r="BB25" s="50">
        <f t="shared" si="21"/>
        <v>1.0814984298101651</v>
      </c>
      <c r="BC25" s="50">
        <f t="shared" si="21"/>
        <v>1.081404565084255</v>
      </c>
      <c r="BD25" s="62">
        <f t="shared" si="21"/>
        <v>1.0813138546928172</v>
      </c>
    </row>
    <row r="26" spans="1:150" s="20" customFormat="1" ht="21" thickBot="1">
      <c r="A26" s="66" t="s">
        <v>82</v>
      </c>
      <c r="B26" s="64">
        <v>27</v>
      </c>
      <c r="C26" s="64"/>
      <c r="D26" s="64"/>
      <c r="E26" s="64"/>
      <c r="F26" s="68" t="s">
        <v>109</v>
      </c>
      <c r="G26" s="63">
        <f t="shared" ref="G26:AL26" si="22">(($E$33*G24)*8760/1000000)*25</f>
        <v>67.889664696350096</v>
      </c>
      <c r="H26" s="64">
        <f t="shared" si="22"/>
        <v>66.288516551971469</v>
      </c>
      <c r="I26" s="64">
        <f t="shared" si="22"/>
        <v>59.118638339080846</v>
      </c>
      <c r="J26" s="64">
        <f t="shared" si="22"/>
        <v>53.189223898773065</v>
      </c>
      <c r="K26" s="64">
        <f t="shared" si="22"/>
        <v>48.278592222061135</v>
      </c>
      <c r="L26" s="64">
        <f t="shared" si="22"/>
        <v>44.043315847091726</v>
      </c>
      <c r="M26" s="64">
        <f t="shared" si="22"/>
        <v>40.297035100479178</v>
      </c>
      <c r="N26" s="64">
        <f t="shared" si="22"/>
        <v>36.933238659210119</v>
      </c>
      <c r="O26" s="64">
        <f t="shared" si="22"/>
        <v>33.886529713440005</v>
      </c>
      <c r="P26" s="64">
        <f t="shared" si="22"/>
        <v>31.113179791717521</v>
      </c>
      <c r="Q26" s="64">
        <f t="shared" si="22"/>
        <v>28.581295014038094</v>
      </c>
      <c r="R26" s="64">
        <f t="shared" si="22"/>
        <v>26.265797531204239</v>
      </c>
      <c r="S26" s="64">
        <f t="shared" si="22"/>
        <v>24.14585941932679</v>
      </c>
      <c r="T26" s="64">
        <f t="shared" si="22"/>
        <v>22.203511958313001</v>
      </c>
      <c r="U26" s="64">
        <f t="shared" si="22"/>
        <v>20.422905409126294</v>
      </c>
      <c r="V26" s="64">
        <f t="shared" si="22"/>
        <v>18.789857403144836</v>
      </c>
      <c r="W26" s="64">
        <f t="shared" si="22"/>
        <v>17.29158227485657</v>
      </c>
      <c r="X26" s="64">
        <f t="shared" si="22"/>
        <v>15.916495164527905</v>
      </c>
      <c r="Y26" s="64">
        <f t="shared" si="22"/>
        <v>14.654072946052562</v>
      </c>
      <c r="Z26" s="64">
        <f t="shared" si="22"/>
        <v>13.494742071990965</v>
      </c>
      <c r="AA26" s="64">
        <f t="shared" si="22"/>
        <v>12.429776886405961</v>
      </c>
      <c r="AB26" s="64">
        <f t="shared" si="22"/>
        <v>11.45122709798812</v>
      </c>
      <c r="AC26" s="64">
        <f t="shared" si="22"/>
        <v>10.551837776184081</v>
      </c>
      <c r="AD26" s="64">
        <f t="shared" si="22"/>
        <v>9.7249895352172757</v>
      </c>
      <c r="AE26" s="64">
        <f t="shared" si="22"/>
        <v>8.9646357273101938</v>
      </c>
      <c r="AF26" s="64">
        <f t="shared" si="22"/>
        <v>8.2652553376006992</v>
      </c>
      <c r="AG26" s="64">
        <f t="shared" si="22"/>
        <v>7.6218028882599</v>
      </c>
      <c r="AH26" s="64">
        <f t="shared" si="22"/>
        <v>7.0296643242073023</v>
      </c>
      <c r="AI26" s="64">
        <f t="shared" si="22"/>
        <v>6.4846233666229143</v>
      </c>
      <c r="AJ26" s="64">
        <f t="shared" si="22"/>
        <v>5.9828192679119043</v>
      </c>
      <c r="AK26" s="64">
        <f t="shared" si="22"/>
        <v>5.5207225114631688</v>
      </c>
      <c r="AL26" s="64">
        <f t="shared" si="22"/>
        <v>5.0950996697616633</v>
      </c>
      <c r="AM26" s="64">
        <f t="shared" ref="AM26:BD26" si="23">(($E$33*AM24)*8760/1000000)*25</f>
        <v>4.7029909733963118</v>
      </c>
      <c r="AN26" s="64">
        <f t="shared" si="23"/>
        <v>4.3416845154189962</v>
      </c>
      <c r="AO26" s="64">
        <f t="shared" si="23"/>
        <v>4.0086949419021476</v>
      </c>
      <c r="AP26" s="64">
        <f t="shared" si="23"/>
        <v>3.7017451332950735</v>
      </c>
      <c r="AQ26" s="64">
        <f t="shared" si="23"/>
        <v>3.4187463903808677</v>
      </c>
      <c r="AR26" s="64">
        <f t="shared" si="23"/>
        <v>3.1577827325820857</v>
      </c>
      <c r="AS26" s="64">
        <f t="shared" si="23"/>
        <v>2.9170963178157803</v>
      </c>
      <c r="AT26" s="64">
        <f t="shared" si="23"/>
        <v>2.6950745446729663</v>
      </c>
      <c r="AU26" s="64">
        <f t="shared" si="23"/>
        <v>2.4902364068984983</v>
      </c>
      <c r="AV26" s="64">
        <f t="shared" si="23"/>
        <v>2.3012216517448407</v>
      </c>
      <c r="AW26" s="64">
        <f t="shared" si="23"/>
        <v>2.1267810598754893</v>
      </c>
      <c r="AX26" s="64">
        <f t="shared" si="23"/>
        <v>1.9657670991182314</v>
      </c>
      <c r="AY26" s="64">
        <f t="shared" si="23"/>
        <v>1.8171245782184586</v>
      </c>
      <c r="AZ26" s="64">
        <f t="shared" si="23"/>
        <v>1.6798839175415037</v>
      </c>
      <c r="BA26" s="64">
        <f t="shared" si="23"/>
        <v>1.5531532047629373</v>
      </c>
      <c r="BB26" s="64">
        <f t="shared" si="23"/>
        <v>1.4361123067331329</v>
      </c>
      <c r="BC26" s="64">
        <f t="shared" si="23"/>
        <v>1.3280065140295036</v>
      </c>
      <c r="BD26" s="65">
        <f t="shared" si="23"/>
        <v>1.2281415874457355</v>
      </c>
    </row>
    <row r="27" spans="1:150" s="20" customFormat="1" ht="17.25" thickTop="1" thickBot="1">
      <c r="A27" s="60" t="s">
        <v>81</v>
      </c>
      <c r="B27" s="61"/>
      <c r="C27" s="61"/>
      <c r="D27" s="61"/>
      <c r="E27" s="61"/>
      <c r="F27" s="69">
        <v>25</v>
      </c>
      <c r="G27" s="1">
        <v>18.882820129394499</v>
      </c>
      <c r="H27" s="1">
        <v>18.4086589813232</v>
      </c>
      <c r="I27" s="1">
        <v>16.439027786254901</v>
      </c>
      <c r="J27" s="1">
        <v>14.8045406341553</v>
      </c>
      <c r="K27" s="1">
        <v>13.446291923522899</v>
      </c>
      <c r="L27" s="1">
        <v>12.272179603576699</v>
      </c>
      <c r="M27" s="1">
        <v>11.2321062088013</v>
      </c>
      <c r="N27" s="1">
        <v>10.297331809997599</v>
      </c>
      <c r="O27" s="1">
        <v>9.4501304626464808</v>
      </c>
      <c r="P27" s="1">
        <v>8.6785860061645508</v>
      </c>
      <c r="Q27" s="1">
        <v>7.9739627838134801</v>
      </c>
      <c r="R27" s="1">
        <v>7.32936668395996</v>
      </c>
      <c r="S27" s="1">
        <v>6.73905324935913</v>
      </c>
      <c r="T27" s="1">
        <v>6.19805908203125</v>
      </c>
      <c r="U27" s="1">
        <v>5.7019987106323198</v>
      </c>
      <c r="V27" s="1">
        <v>5.2469453811645499</v>
      </c>
      <c r="W27" s="1">
        <v>4.8293566703796396</v>
      </c>
      <c r="X27" s="1">
        <v>4.4460220336914098</v>
      </c>
      <c r="Y27" s="1">
        <v>4.0940227508544904</v>
      </c>
      <c r="Z27" s="1">
        <v>3.7707030773162802</v>
      </c>
      <c r="AA27" s="1">
        <v>3.47364330291748</v>
      </c>
      <c r="AB27" s="1">
        <v>3.2006356716156001</v>
      </c>
      <c r="AC27" s="1">
        <v>2.9496665000915501</v>
      </c>
      <c r="AD27" s="1">
        <v>2.7188971042633101</v>
      </c>
      <c r="AE27" s="1">
        <v>2.5066487789154102</v>
      </c>
      <c r="AF27" s="1">
        <v>2.3113868236541699</v>
      </c>
      <c r="AG27" s="1">
        <v>2.1317090988159202</v>
      </c>
      <c r="AH27" s="1">
        <v>1.9663331508636499</v>
      </c>
      <c r="AI27" s="1">
        <v>1.81408631801605</v>
      </c>
      <c r="AJ27" s="1">
        <v>1.67389523983002</v>
      </c>
      <c r="AK27" s="1">
        <v>1.54477763175964</v>
      </c>
      <c r="AL27" s="1">
        <v>1.4258338212966899</v>
      </c>
      <c r="AM27" s="1">
        <v>1.31623995304108</v>
      </c>
      <c r="AN27" s="1">
        <v>1.2152413129806501</v>
      </c>
      <c r="AO27" s="1">
        <v>1.1221456527710001</v>
      </c>
      <c r="AP27" s="1">
        <v>1.0363186597824099</v>
      </c>
      <c r="AQ27" s="1">
        <v>0.95717853307723999</v>
      </c>
      <c r="AR27" s="1">
        <v>0.884191393852234</v>
      </c>
      <c r="AS27" s="1">
        <v>0.81686747074127197</v>
      </c>
      <c r="AT27" s="1">
        <v>0.75475698709487904</v>
      </c>
      <c r="AU27" s="1">
        <v>0.69744712114334095</v>
      </c>
      <c r="AV27" s="1">
        <v>0.64455854892730702</v>
      </c>
      <c r="AW27" s="1">
        <v>0.59574276208877597</v>
      </c>
      <c r="AX27" s="1">
        <v>0.55067968368530296</v>
      </c>
      <c r="AY27" s="1">
        <v>0.509074807167053</v>
      </c>
      <c r="AZ27" s="1">
        <v>0.47065761685371399</v>
      </c>
      <c r="BA27" s="1">
        <v>0.43517911434173601</v>
      </c>
      <c r="BB27" s="1">
        <v>0.402410298585892</v>
      </c>
      <c r="BC27" s="1">
        <v>0.37214046716690102</v>
      </c>
      <c r="BD27" s="1">
        <v>0.34417569637298601</v>
      </c>
    </row>
    <row r="28" spans="1:150" s="20" customFormat="1" ht="18.75" thickTop="1">
      <c r="A28" s="55" t="s">
        <v>71</v>
      </c>
      <c r="B28" s="50">
        <v>30</v>
      </c>
      <c r="C28" s="50"/>
      <c r="E28" s="50"/>
      <c r="F28" s="56" t="s">
        <v>1</v>
      </c>
      <c r="G28" s="55">
        <f>G27/F27</f>
        <v>0.75531280517577992</v>
      </c>
      <c r="H28" s="50">
        <f>H27/F$27</f>
        <v>0.73634635925292802</v>
      </c>
      <c r="I28" s="50">
        <f>I27/F27</f>
        <v>0.65756111145019602</v>
      </c>
      <c r="J28" s="50">
        <f>J27/F27</f>
        <v>0.59218162536621199</v>
      </c>
      <c r="K28" s="50">
        <f>K27/F27</f>
        <v>0.53785167694091596</v>
      </c>
      <c r="L28" s="50">
        <f>L27/F27</f>
        <v>0.49088718414306798</v>
      </c>
      <c r="M28" s="50">
        <f>M27/F27</f>
        <v>0.449284248352052</v>
      </c>
      <c r="N28" s="50">
        <f>N27/F27</f>
        <v>0.41189327239990398</v>
      </c>
      <c r="O28" s="50">
        <f>O27/F27</f>
        <v>0.37800521850585922</v>
      </c>
      <c r="P28" s="50">
        <f>P27/F27</f>
        <v>0.34714344024658206</v>
      </c>
      <c r="Q28" s="50">
        <f>Q27/F27</f>
        <v>0.31895851135253922</v>
      </c>
      <c r="R28" s="50">
        <f>R27/F27</f>
        <v>0.29317466735839842</v>
      </c>
      <c r="S28" s="50">
        <f>S27/F27</f>
        <v>0.26956212997436518</v>
      </c>
      <c r="T28" s="50">
        <f>T27/F27</f>
        <v>0.24792236328125</v>
      </c>
      <c r="U28" s="50">
        <f>U27/F27</f>
        <v>0.22807994842529278</v>
      </c>
      <c r="V28" s="50">
        <f>V27/F27</f>
        <v>0.209877815246582</v>
      </c>
      <c r="W28" s="50">
        <f>W27/F27</f>
        <v>0.19317426681518557</v>
      </c>
      <c r="X28" s="50">
        <f>X27/F27</f>
        <v>0.17784088134765638</v>
      </c>
      <c r="Y28" s="50">
        <f>Y27/F27</f>
        <v>0.16376091003417961</v>
      </c>
      <c r="Z28" s="50">
        <f>Z27/F27</f>
        <v>0.1508281230926512</v>
      </c>
      <c r="AA28" s="50">
        <f>AA27/F27</f>
        <v>0.13894573211669919</v>
      </c>
      <c r="AB28" s="50">
        <f>AB27/F27</f>
        <v>0.12802542686462401</v>
      </c>
      <c r="AC28" s="50">
        <f>AC27/F27</f>
        <v>0.11798666000366201</v>
      </c>
      <c r="AD28" s="50">
        <f>AD27/F27</f>
        <v>0.1087558841705324</v>
      </c>
      <c r="AE28" s="50">
        <f>AE27/F27</f>
        <v>0.10026595115661641</v>
      </c>
      <c r="AF28" s="50">
        <f>AF27/F27</f>
        <v>9.2455472946166795E-2</v>
      </c>
      <c r="AG28" s="50">
        <f>AG27/F27</f>
        <v>8.5268363952636803E-2</v>
      </c>
      <c r="AH28" s="50">
        <f>AH27/F27</f>
        <v>7.8653326034546001E-2</v>
      </c>
      <c r="AI28" s="50">
        <f>AI27/F27</f>
        <v>7.2563452720642005E-2</v>
      </c>
      <c r="AJ28" s="50">
        <f>AJ27/F27</f>
        <v>6.6955809593200799E-2</v>
      </c>
      <c r="AK28" s="50">
        <f>AK27/F27</f>
        <v>6.1791105270385602E-2</v>
      </c>
      <c r="AL28" s="50">
        <f>AL27/F27</f>
        <v>5.7033352851867593E-2</v>
      </c>
      <c r="AM28" s="50">
        <f>AM27/F27</f>
        <v>5.2649598121643201E-2</v>
      </c>
      <c r="AN28" s="50">
        <f>AN27/F27</f>
        <v>4.8609652519226006E-2</v>
      </c>
      <c r="AO28" s="50">
        <f>AO27/F27</f>
        <v>4.4885826110840001E-2</v>
      </c>
      <c r="AP28" s="50">
        <f>AP27/F27</f>
        <v>4.1452746391296397E-2</v>
      </c>
      <c r="AQ28" s="50">
        <f>AQ27/F27</f>
        <v>3.82871413230896E-2</v>
      </c>
      <c r="AR28" s="50">
        <f>AR27/F27</f>
        <v>3.5367655754089358E-2</v>
      </c>
      <c r="AS28" s="50">
        <f>AS27/F27</f>
        <v>3.2674698829650878E-2</v>
      </c>
      <c r="AT28" s="50">
        <f>AT27/F27</f>
        <v>3.0190279483795161E-2</v>
      </c>
      <c r="AU28" s="50">
        <f>AU27/F27</f>
        <v>2.7897884845733637E-2</v>
      </c>
      <c r="AV28" s="50">
        <f>AV27/F27</f>
        <v>2.5782341957092281E-2</v>
      </c>
      <c r="AW28" s="50">
        <f>AW27/F27</f>
        <v>2.382971048355104E-2</v>
      </c>
      <c r="AX28" s="50">
        <f>AX27/F27</f>
        <v>2.2027187347412117E-2</v>
      </c>
      <c r="AY28" s="50">
        <f>AY27/F27</f>
        <v>2.0362992286682119E-2</v>
      </c>
      <c r="AZ28" s="50">
        <f>AZ27/F27</f>
        <v>1.8826304674148558E-2</v>
      </c>
      <c r="BA28" s="50">
        <f>BA27/F27</f>
        <v>1.7407164573669441E-2</v>
      </c>
      <c r="BB28" s="50">
        <f>BB27/F27</f>
        <v>1.6096411943435682E-2</v>
      </c>
      <c r="BC28" s="50">
        <f>BC27/F27</f>
        <v>1.488561868667604E-2</v>
      </c>
      <c r="BD28" s="62">
        <f>BD27/F27</f>
        <v>1.376702785491944E-2</v>
      </c>
      <c r="BE28" s="12"/>
    </row>
    <row r="29" spans="1:150" s="20" customFormat="1" hidden="1">
      <c r="A29" s="55" t="s">
        <v>7</v>
      </c>
      <c r="B29" s="50">
        <v>31</v>
      </c>
      <c r="C29" s="50"/>
      <c r="D29" s="50"/>
      <c r="E29" s="50"/>
      <c r="F29" s="56"/>
      <c r="G29" s="55"/>
      <c r="H29" s="50">
        <f t="shared" ref="H29:AM29" si="24">G28/H28</f>
        <v>1.0257575062122866</v>
      </c>
      <c r="I29" s="50">
        <f t="shared" si="24"/>
        <v>1.1198143357793433</v>
      </c>
      <c r="J29" s="50">
        <f t="shared" si="24"/>
        <v>1.1104044490464435</v>
      </c>
      <c r="K29" s="50">
        <f t="shared" si="24"/>
        <v>1.1010128828347305</v>
      </c>
      <c r="L29" s="50">
        <f t="shared" si="24"/>
        <v>1.0956726806380839</v>
      </c>
      <c r="M29" s="50">
        <f t="shared" si="24"/>
        <v>1.0925982514268262</v>
      </c>
      <c r="N29" s="50">
        <f t="shared" si="24"/>
        <v>1.0907783119017429</v>
      </c>
      <c r="O29" s="50">
        <f t="shared" si="24"/>
        <v>1.0896496985623481</v>
      </c>
      <c r="P29" s="50">
        <f t="shared" si="24"/>
        <v>1.0889020925682926</v>
      </c>
      <c r="Q29" s="50">
        <f t="shared" si="24"/>
        <v>1.0883655017529554</v>
      </c>
      <c r="R29" s="50">
        <f t="shared" si="24"/>
        <v>1.087947039307529</v>
      </c>
      <c r="S29" s="50">
        <f t="shared" si="24"/>
        <v>1.0875959000111728</v>
      </c>
      <c r="T29" s="50">
        <f t="shared" si="24"/>
        <v>1.0872844482712778</v>
      </c>
      <c r="U29" s="50">
        <f t="shared" si="24"/>
        <v>1.086997629528387</v>
      </c>
      <c r="V29" s="50">
        <f t="shared" si="24"/>
        <v>1.0867272853842385</v>
      </c>
      <c r="W29" s="50">
        <f t="shared" si="24"/>
        <v>1.0864688071904376</v>
      </c>
      <c r="X29" s="50">
        <f t="shared" si="24"/>
        <v>1.0862196889226745</v>
      </c>
      <c r="Y29" s="50">
        <f t="shared" si="24"/>
        <v>1.0859788292000701</v>
      </c>
      <c r="Z29" s="50">
        <f t="shared" si="24"/>
        <v>1.0857451957655404</v>
      </c>
      <c r="AA29" s="50">
        <f t="shared" si="24"/>
        <v>1.0855182148809874</v>
      </c>
      <c r="AB29" s="50">
        <f t="shared" si="24"/>
        <v>1.0852979405694345</v>
      </c>
      <c r="AC29" s="50">
        <f t="shared" si="24"/>
        <v>1.0850839142378506</v>
      </c>
      <c r="AD29" s="50">
        <f t="shared" si="24"/>
        <v>1.0848761048979703</v>
      </c>
      <c r="AE29" s="50">
        <f t="shared" si="24"/>
        <v>1.0846741382890253</v>
      </c>
      <c r="AF29" s="50">
        <f t="shared" si="24"/>
        <v>1.0844782678792564</v>
      </c>
      <c r="AG29" s="50">
        <f t="shared" si="24"/>
        <v>1.0842881071052581</v>
      </c>
      <c r="AH29" s="50">
        <f t="shared" si="24"/>
        <v>1.0841037277328278</v>
      </c>
      <c r="AI29" s="50">
        <f t="shared" si="24"/>
        <v>1.0839248007857214</v>
      </c>
      <c r="AJ29" s="50">
        <f t="shared" si="24"/>
        <v>1.0837514050164012</v>
      </c>
      <c r="AK29" s="50">
        <f t="shared" si="24"/>
        <v>1.083583297308172</v>
      </c>
      <c r="AL29" s="50">
        <f t="shared" si="24"/>
        <v>1.0834205281754221</v>
      </c>
      <c r="AM29" s="50">
        <f t="shared" si="24"/>
        <v>1.0832628336515699</v>
      </c>
      <c r="AN29" s="50">
        <f t="shared" ref="AN29:BD29" si="25">AM28/AN28</f>
        <v>1.0831099461330098</v>
      </c>
      <c r="AO29" s="50">
        <f t="shared" si="25"/>
        <v>1.082962189426802</v>
      </c>
      <c r="AP29" s="50">
        <f t="shared" si="25"/>
        <v>1.0828191137720233</v>
      </c>
      <c r="AQ29" s="50">
        <f t="shared" si="25"/>
        <v>1.0826806326827469</v>
      </c>
      <c r="AR29" s="50">
        <f t="shared" si="25"/>
        <v>1.0825467650245006</v>
      </c>
      <c r="AS29" s="50">
        <f t="shared" si="25"/>
        <v>1.0824171919220489</v>
      </c>
      <c r="AT29" s="50">
        <f t="shared" si="25"/>
        <v>1.0822920287037834</v>
      </c>
      <c r="AU29" s="50">
        <f t="shared" si="25"/>
        <v>1.0821709119073983</v>
      </c>
      <c r="AV29" s="50">
        <f t="shared" si="25"/>
        <v>1.0820539457649776</v>
      </c>
      <c r="AW29" s="50">
        <f t="shared" si="25"/>
        <v>1.0819410489644465</v>
      </c>
      <c r="AX29" s="50">
        <f t="shared" si="25"/>
        <v>1.0818317430959108</v>
      </c>
      <c r="AY29" s="50">
        <f t="shared" si="25"/>
        <v>1.0817264494972294</v>
      </c>
      <c r="AZ29" s="50">
        <f t="shared" si="25"/>
        <v>1.0816244950419649</v>
      </c>
      <c r="BA29" s="50">
        <f t="shared" si="25"/>
        <v>1.0815262068944731</v>
      </c>
      <c r="BB29" s="50">
        <f t="shared" si="25"/>
        <v>1.0814313546919567</v>
      </c>
      <c r="BC29" s="50">
        <f t="shared" si="25"/>
        <v>1.081339800665686</v>
      </c>
      <c r="BD29" s="62">
        <f t="shared" si="25"/>
        <v>1.0812514395659401</v>
      </c>
    </row>
    <row r="30" spans="1:150" s="20" customFormat="1" ht="21" thickBot="1">
      <c r="A30" s="66" t="s">
        <v>82</v>
      </c>
      <c r="B30" s="64">
        <v>32</v>
      </c>
      <c r="C30" s="64"/>
      <c r="D30" s="64"/>
      <c r="E30" s="64"/>
      <c r="F30" s="68" t="s">
        <v>109</v>
      </c>
      <c r="G30" s="63">
        <f t="shared" ref="G30:AL30" si="26">(($E$33*G28)*8760/1000000)*25</f>
        <v>59.218034551391497</v>
      </c>
      <c r="H30" s="64">
        <f t="shared" si="26"/>
        <v>57.731027258148075</v>
      </c>
      <c r="I30" s="64">
        <f t="shared" si="26"/>
        <v>51.554106259918278</v>
      </c>
      <c r="J30" s="64">
        <f t="shared" si="26"/>
        <v>46.428223791961749</v>
      </c>
      <c r="K30" s="64">
        <f t="shared" si="26"/>
        <v>42.168647175521699</v>
      </c>
      <c r="L30" s="64">
        <f t="shared" si="26"/>
        <v>38.486537011184815</v>
      </c>
      <c r="M30" s="64">
        <f t="shared" si="26"/>
        <v>35.224783639297577</v>
      </c>
      <c r="N30" s="64">
        <f t="shared" si="26"/>
        <v>32.293256342697276</v>
      </c>
      <c r="O30" s="64">
        <f t="shared" si="26"/>
        <v>29.636365141296373</v>
      </c>
      <c r="P30" s="64">
        <f t="shared" si="26"/>
        <v>27.216740002212532</v>
      </c>
      <c r="Q30" s="64">
        <f t="shared" si="26"/>
        <v>25.006985207061781</v>
      </c>
      <c r="R30" s="64">
        <f t="shared" si="26"/>
        <v>22.985480270233154</v>
      </c>
      <c r="S30" s="64">
        <f t="shared" si="26"/>
        <v>21.134210114250177</v>
      </c>
      <c r="T30" s="64">
        <f t="shared" si="26"/>
        <v>19.437609125976564</v>
      </c>
      <c r="U30" s="64">
        <f t="shared" si="26"/>
        <v>17.881924116439805</v>
      </c>
      <c r="V30" s="64">
        <f t="shared" si="26"/>
        <v>16.45484047096252</v>
      </c>
      <c r="W30" s="64">
        <f t="shared" si="26"/>
        <v>15.145248866844177</v>
      </c>
      <c r="X30" s="64">
        <f t="shared" si="26"/>
        <v>13.943080779418954</v>
      </c>
      <c r="Y30" s="64">
        <f t="shared" si="26"/>
        <v>12.83918286849975</v>
      </c>
      <c r="Z30" s="64">
        <f t="shared" si="26"/>
        <v>11.825226506710038</v>
      </c>
      <c r="AA30" s="64">
        <f t="shared" si="26"/>
        <v>10.893623289413451</v>
      </c>
      <c r="AB30" s="64">
        <f t="shared" si="26"/>
        <v>10.037449517040251</v>
      </c>
      <c r="AC30" s="64">
        <f t="shared" si="26"/>
        <v>9.2503901176071093</v>
      </c>
      <c r="AD30" s="64">
        <f t="shared" si="26"/>
        <v>8.5266788307380796</v>
      </c>
      <c r="AE30" s="64">
        <f t="shared" si="26"/>
        <v>7.8610511025810386</v>
      </c>
      <c r="AF30" s="64">
        <f t="shared" si="26"/>
        <v>7.2486939899253686</v>
      </c>
      <c r="AG30" s="64">
        <f t="shared" si="26"/>
        <v>6.6852102706146308</v>
      </c>
      <c r="AH30" s="64">
        <f t="shared" si="26"/>
        <v>6.1665780677604758</v>
      </c>
      <c r="AI30" s="64">
        <f t="shared" si="26"/>
        <v>5.689119820203774</v>
      </c>
      <c r="AJ30" s="64">
        <f t="shared" si="26"/>
        <v>5.2494693837261286</v>
      </c>
      <c r="AK30" s="64">
        <f t="shared" si="26"/>
        <v>4.8445462354087718</v>
      </c>
      <c r="AL30" s="64">
        <f t="shared" si="26"/>
        <v>4.4715289302921226</v>
      </c>
      <c r="AM30" s="64">
        <f t="shared" ref="AM30:BD30" si="27">(($E$33*AM28)*8760/1000000)*25</f>
        <v>4.127833791933071</v>
      </c>
      <c r="AN30" s="64">
        <f t="shared" si="27"/>
        <v>3.8110939768123568</v>
      </c>
      <c r="AO30" s="64">
        <f t="shared" si="27"/>
        <v>3.5191385387420766</v>
      </c>
      <c r="AP30" s="64">
        <f t="shared" si="27"/>
        <v>3.2499782225704195</v>
      </c>
      <c r="AQ30" s="64">
        <f t="shared" si="27"/>
        <v>3.0017884540128708</v>
      </c>
      <c r="AR30" s="64">
        <f t="shared" si="27"/>
        <v>2.7728949464321135</v>
      </c>
      <c r="AS30" s="64">
        <f t="shared" si="27"/>
        <v>2.5617617376422883</v>
      </c>
      <c r="AT30" s="64">
        <f t="shared" si="27"/>
        <v>2.3669782920885081</v>
      </c>
      <c r="AU30" s="64">
        <f t="shared" si="27"/>
        <v>2.1872499676752084</v>
      </c>
      <c r="AV30" s="64">
        <f t="shared" si="27"/>
        <v>2.0213871741199494</v>
      </c>
      <c r="AW30" s="64">
        <f t="shared" si="27"/>
        <v>1.8682969613313685</v>
      </c>
      <c r="AX30" s="64">
        <f t="shared" si="27"/>
        <v>1.7269755424118047</v>
      </c>
      <c r="AY30" s="64">
        <f t="shared" si="27"/>
        <v>1.5964993212604515</v>
      </c>
      <c r="AZ30" s="64">
        <f t="shared" si="27"/>
        <v>1.4760199390625952</v>
      </c>
      <c r="BA30" s="64">
        <f t="shared" si="27"/>
        <v>1.3647565169048315</v>
      </c>
      <c r="BB30" s="64">
        <f t="shared" si="27"/>
        <v>1.2619908891892442</v>
      </c>
      <c r="BC30" s="64">
        <f t="shared" si="27"/>
        <v>1.1670622762727749</v>
      </c>
      <c r="BD30" s="65">
        <f t="shared" si="27"/>
        <v>1.0793625178813939</v>
      </c>
    </row>
    <row r="31" spans="1:150" ht="15.75" thickTop="1">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row>
    <row r="32" spans="1:150">
      <c r="A32" s="5" t="s">
        <v>67</v>
      </c>
      <c r="B32" s="6"/>
      <c r="C32" s="6"/>
      <c r="D32" s="6"/>
      <c r="E32" s="6"/>
      <c r="F32" s="6"/>
    </row>
    <row r="33" spans="1:9">
      <c r="A33" s="6"/>
      <c r="B33" s="6"/>
      <c r="C33" s="6"/>
      <c r="D33" s="7" t="s">
        <v>112</v>
      </c>
      <c r="E33" s="8">
        <f>E35/2</f>
        <v>358</v>
      </c>
      <c r="F33" s="5" t="s">
        <v>86</v>
      </c>
    </row>
    <row r="34" spans="1:9">
      <c r="D34" s="43">
        <f>(E34*0.5)</f>
        <v>0.98850000000000005</v>
      </c>
      <c r="E34" s="43">
        <v>1.9770000000000001</v>
      </c>
      <c r="F34" s="44" t="s">
        <v>70</v>
      </c>
    </row>
    <row r="35" spans="1:9">
      <c r="D35" s="42" t="s">
        <v>88</v>
      </c>
      <c r="E35" s="43">
        <v>716</v>
      </c>
    </row>
    <row r="36" spans="1:9">
      <c r="C36" s="41"/>
    </row>
    <row r="37" spans="1:9">
      <c r="I37" s="20"/>
    </row>
    <row r="40" spans="1:9">
      <c r="D40" s="42"/>
      <c r="E40" s="43"/>
    </row>
  </sheetData>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dimension ref="A1:BP167"/>
  <sheetViews>
    <sheetView showGridLines="0" zoomScale="70" zoomScaleNormal="70" workbookViewId="0">
      <selection activeCell="A38" sqref="A38"/>
    </sheetView>
  </sheetViews>
  <sheetFormatPr defaultRowHeight="15" outlineLevelCol="1"/>
  <cols>
    <col min="1" max="1" width="105.77734375" customWidth="1"/>
    <col min="2" max="2" width="47.77734375" customWidth="1"/>
    <col min="3" max="3" width="6.44140625" customWidth="1"/>
    <col min="4" max="4" width="11" bestFit="1" customWidth="1"/>
    <col min="5" max="5" width="17.33203125" customWidth="1"/>
    <col min="6" max="6" width="11.5546875" customWidth="1"/>
    <col min="7" max="7" width="7.5546875" customWidth="1"/>
    <col min="8" max="8" width="53.77734375" customWidth="1"/>
    <col min="9" max="16" width="15.77734375" customWidth="1"/>
    <col min="17" max="19" width="6.88671875" customWidth="1"/>
    <col min="20" max="21" width="8.88671875" customWidth="1" outlineLevel="1"/>
    <col min="22" max="22" width="12.44140625" bestFit="1" customWidth="1" outlineLevel="1"/>
    <col min="23" max="23" width="35.77734375" bestFit="1" customWidth="1" outlineLevel="1"/>
    <col min="24" max="24" width="5.5546875" customWidth="1" outlineLevel="1"/>
    <col min="25" max="25" width="5.33203125" bestFit="1" customWidth="1" outlineLevel="1"/>
    <col min="26" max="26" width="11.6640625" bestFit="1" customWidth="1" outlineLevel="1"/>
    <col min="27" max="27" width="10.33203125" bestFit="1" customWidth="1" outlineLevel="1"/>
    <col min="28" max="28" width="1.77734375" customWidth="1" outlineLevel="1"/>
    <col min="29" max="29" width="37.44140625" bestFit="1" customWidth="1" outlineLevel="1"/>
    <col min="30" max="30" width="11.33203125" bestFit="1" customWidth="1" outlineLevel="1"/>
    <col min="31" max="35" width="1.77734375" customWidth="1" outlineLevel="1"/>
    <col min="36" max="41" width="8.88671875" customWidth="1" outlineLevel="1"/>
    <col min="42" max="42" width="4" customWidth="1" outlineLevel="1"/>
  </cols>
  <sheetData>
    <row r="1" spans="1:43" ht="24.95" customHeight="1" thickBot="1">
      <c r="A1" s="34" t="s">
        <v>83</v>
      </c>
      <c r="T1" t="str">
        <f ca="1">IF(T10&lt;&gt;"","Table Value","")</f>
        <v>Table Value</v>
      </c>
      <c r="AJ1">
        <v>1</v>
      </c>
      <c r="AK1">
        <v>5</v>
      </c>
      <c r="AL1">
        <f ca="1">SUMIF('Consolidated tables'!B:B,'Sugden End example'!$T$10,INDIRECT("'Consolidated tables'!"&amp;VLOOKUP(AJ1,AO:AP,2,FALSE)&amp;":"&amp;VLOOKUP(AJ1,AO:AP,2,FALSE)))</f>
        <v>0.75531280517577992</v>
      </c>
      <c r="AM1" s="1">
        <f ca="1">SUMIF('Consolidated tables'!B:B,'Sugden End example'!$T$14,INDIRECT("'Consolidated tables'!"&amp;VLOOKUP(AJ1,AO:AP,2,FALSE)&amp;":"&amp;VLOOKUP(AJ1,AO:AP,2,FALSE)))</f>
        <v>59.218034551391497</v>
      </c>
      <c r="AN1" s="1">
        <f ca="1">SUMIF('Consolidated tables'!B:B,'Sugden End example'!$T$15,INDIRECT("'Consolidated tables'!"&amp;VLOOKUP(AJ1,AO:AP,2,FALSE)&amp;":"&amp;VLOOKUP(AJ1,AO:AP,2,FALSE)))</f>
        <v>0</v>
      </c>
      <c r="AP1" t="s">
        <v>58</v>
      </c>
      <c r="AQ1" s="1"/>
    </row>
    <row r="2" spans="1:43" ht="24" customHeight="1" thickBot="1">
      <c r="B2" s="71" t="s">
        <v>2</v>
      </c>
      <c r="D2" s="18">
        <f ca="1">YEAR(TODAY())</f>
        <v>2015</v>
      </c>
      <c r="E2" s="36" t="s">
        <v>8</v>
      </c>
      <c r="F2" s="18"/>
      <c r="G2" s="36" t="str">
        <f>"= Result Cell"</f>
        <v>= Result Cell</v>
      </c>
      <c r="AJ2">
        <v>2</v>
      </c>
      <c r="AK2">
        <v>5</v>
      </c>
      <c r="AL2">
        <f ca="1">SUMIF('Consolidated tables'!B:B,'Sugden End example'!$T$10,INDIRECT("'Consolidated tables'!"&amp;VLOOKUP(AJ2,AO:AP,2,FALSE)&amp;":"&amp;VLOOKUP(AJ2,AO:AP,2,FALSE)))</f>
        <v>0.73634635925292802</v>
      </c>
      <c r="AM2" s="1">
        <f ca="1">SUMIF('Consolidated tables'!B:B,'Sugden End example'!$T$14,INDIRECT("'Consolidated tables'!"&amp;VLOOKUP(AJ2,AO:AP,2,FALSE)&amp;":"&amp;VLOOKUP(AJ2,AO:AP,2,FALSE)))</f>
        <v>57.731027258148075</v>
      </c>
      <c r="AN2" s="1">
        <f ca="1">SUMIF('Consolidated tables'!B:B,'Sugden End example'!$T$15,INDIRECT("'Consolidated tables'!"&amp;VLOOKUP(AJ2,AO:AP,2,FALSE)&amp;":"&amp;VLOOKUP(AJ2,AO:AP,2,FALSE)))</f>
        <v>0</v>
      </c>
      <c r="AP2" t="s">
        <v>59</v>
      </c>
      <c r="AQ2" s="1"/>
    </row>
    <row r="3" spans="1:43" ht="24" customHeight="1" thickBot="1">
      <c r="B3" s="35"/>
      <c r="D3" s="11"/>
      <c r="E3" s="36"/>
      <c r="G3" s="36"/>
      <c r="AJ3">
        <v>3</v>
      </c>
      <c r="AK3">
        <v>5</v>
      </c>
      <c r="AL3">
        <f ca="1">SUMIF('Consolidated tables'!B:B,'Sugden End example'!$T$10,INDIRECT("'Consolidated tables'!"&amp;VLOOKUP(AJ3,AO:AP,2,FALSE)&amp;":"&amp;VLOOKUP(AJ3,AO:AP,2,FALSE)))</f>
        <v>0.65756111145019602</v>
      </c>
      <c r="AM3" s="1">
        <f ca="1">SUMIF('Consolidated tables'!B:B,'Sugden End example'!$T$14,INDIRECT("'Consolidated tables'!"&amp;VLOOKUP(AJ3,AO:AP,2,FALSE)&amp;":"&amp;VLOOKUP(AJ3,AO:AP,2,FALSE)))</f>
        <v>51.554106259918278</v>
      </c>
      <c r="AN3" s="1">
        <f ca="1">SUMIF('Consolidated tables'!B:B,'Sugden End example'!$T$15,INDIRECT("'Consolidated tables'!"&amp;VLOOKUP(AJ3,AO:AP,2,FALSE)&amp;":"&amp;VLOOKUP(AJ3,AO:AP,2,FALSE)))</f>
        <v>0</v>
      </c>
      <c r="AP3" t="s">
        <v>60</v>
      </c>
      <c r="AQ3" s="1"/>
    </row>
    <row r="4" spans="1:43" ht="24" customHeight="1" thickBot="1">
      <c r="A4" s="35" t="s">
        <v>94</v>
      </c>
      <c r="B4" s="71" t="s">
        <v>4</v>
      </c>
      <c r="D4" s="33">
        <v>1970</v>
      </c>
      <c r="E4" s="36" t="s">
        <v>8</v>
      </c>
      <c r="F4" s="39"/>
      <c r="G4" s="36" t="str">
        <f>"= Text Entry Cell"</f>
        <v>= Text Entry Cell</v>
      </c>
      <c r="T4" t="s">
        <v>9</v>
      </c>
      <c r="U4" t="s">
        <v>9</v>
      </c>
      <c r="AJ4">
        <v>4</v>
      </c>
      <c r="AK4">
        <v>5</v>
      </c>
      <c r="AL4">
        <f ca="1">SUMIF('Consolidated tables'!B:B,'Sugden End example'!$T$10,INDIRECT("'Consolidated tables'!"&amp;VLOOKUP(AJ4,AO:AP,2,FALSE)&amp;":"&amp;VLOOKUP(AJ4,AO:AP,2,FALSE)))</f>
        <v>0.59218162536621199</v>
      </c>
      <c r="AM4" s="1">
        <f ca="1">SUMIF('Consolidated tables'!B:B,'Sugden End example'!$T$14,INDIRECT("'Consolidated tables'!"&amp;VLOOKUP(AJ4,AO:AP,2,FALSE)&amp;":"&amp;VLOOKUP(AJ4,AO:AP,2,FALSE)))</f>
        <v>46.428223791961749</v>
      </c>
      <c r="AN4" s="1">
        <f ca="1">SUMIF('Consolidated tables'!B:B,'Sugden End example'!$T$15,INDIRECT("'Consolidated tables'!"&amp;VLOOKUP(AJ4,AO:AP,2,FALSE)&amp;":"&amp;VLOOKUP(AJ4,AO:AP,2,FALSE)))</f>
        <v>0</v>
      </c>
      <c r="AP4" t="s">
        <v>61</v>
      </c>
      <c r="AQ4" s="1"/>
    </row>
    <row r="5" spans="1:43" ht="24" customHeight="1" thickBot="1">
      <c r="A5" s="36"/>
      <c r="B5" s="36"/>
      <c r="D5" s="11"/>
      <c r="E5" s="36"/>
      <c r="AJ5">
        <v>5</v>
      </c>
      <c r="AK5">
        <v>5</v>
      </c>
      <c r="AL5">
        <f ca="1">SUMIF('Consolidated tables'!B:B,'Sugden End example'!$T$10,INDIRECT("'Consolidated tables'!"&amp;VLOOKUP(AJ5,AO:AP,2,FALSE)&amp;":"&amp;VLOOKUP(AJ5,AO:AP,2,FALSE)))</f>
        <v>0.53785167694091596</v>
      </c>
      <c r="AM5" s="1">
        <f ca="1">SUMIF('Consolidated tables'!B:B,'Sugden End example'!$T$14,INDIRECT("'Consolidated tables'!"&amp;VLOOKUP(AJ5,AO:AP,2,FALSE)&amp;":"&amp;VLOOKUP(AJ5,AO:AP,2,FALSE)))</f>
        <v>42.168647175521699</v>
      </c>
      <c r="AN5" s="1">
        <f ca="1">SUMIF('Consolidated tables'!B:B,'Sugden End example'!$T$15,INDIRECT("'Consolidated tables'!"&amp;VLOOKUP(AJ5,AO:AP,2,FALSE)&amp;":"&amp;VLOOKUP(AJ5,AO:AP,2,FALSE)))</f>
        <v>0</v>
      </c>
      <c r="AP5" t="s">
        <v>68</v>
      </c>
      <c r="AQ5" s="1"/>
    </row>
    <row r="6" spans="1:43" ht="24" customHeight="1" thickBot="1">
      <c r="A6" s="37" t="s">
        <v>95</v>
      </c>
      <c r="B6" s="71" t="s">
        <v>3</v>
      </c>
      <c r="D6" s="33">
        <v>1997</v>
      </c>
      <c r="E6" s="36" t="s">
        <v>8</v>
      </c>
      <c r="T6" t="s">
        <v>10</v>
      </c>
      <c r="U6" t="s">
        <v>11</v>
      </c>
      <c r="AJ6">
        <v>6</v>
      </c>
      <c r="AK6">
        <f>AK1+5</f>
        <v>10</v>
      </c>
      <c r="AL6">
        <f ca="1">SUMIF('Consolidated tables'!B:B,'Sugden End example'!$T$10,INDIRECT("'Consolidated tables'!"&amp;VLOOKUP(AJ6,AO:AP,2,FALSE)&amp;":"&amp;VLOOKUP(AJ6,AO:AP,2,FALSE)))</f>
        <v>0.49088718414306798</v>
      </c>
      <c r="AM6" s="1">
        <f ca="1">SUMIF('Consolidated tables'!B:B,'Sugden End example'!$T$14,INDIRECT("'Consolidated tables'!"&amp;VLOOKUP(AJ6,AO:AP,2,FALSE)&amp;":"&amp;VLOOKUP(AJ6,AO:AP,2,FALSE)))</f>
        <v>38.486537011184815</v>
      </c>
      <c r="AN6" s="1">
        <f ca="1">SUMIF('Consolidated tables'!B:B,'Sugden End example'!$T$15,INDIRECT("'Consolidated tables'!"&amp;VLOOKUP(AJ6,AO:AP,2,FALSE)&amp;":"&amp;VLOOKUP(AJ6,AO:AP,2,FALSE)))</f>
        <v>0</v>
      </c>
      <c r="AP6" t="s">
        <v>62</v>
      </c>
      <c r="AQ6" s="1"/>
    </row>
    <row r="7" spans="1:43" ht="24" customHeight="1" thickBot="1">
      <c r="A7" s="36"/>
      <c r="B7" s="36"/>
      <c r="D7" s="11"/>
      <c r="E7" s="36"/>
      <c r="AJ7">
        <v>7</v>
      </c>
      <c r="AK7">
        <f t="shared" ref="AK7:AK50" si="0">AK2+5</f>
        <v>10</v>
      </c>
      <c r="AL7">
        <f ca="1">SUMIF('Consolidated tables'!B:B,'Sugden End example'!$T$10,INDIRECT("'Consolidated tables'!"&amp;VLOOKUP(AJ7,AO:AP,2,FALSE)&amp;":"&amp;VLOOKUP(AJ7,AO:AP,2,FALSE)))</f>
        <v>0.449284248352052</v>
      </c>
      <c r="AM7" s="1">
        <f ca="1">SUMIF('Consolidated tables'!B:B,'Sugden End example'!$T$14,INDIRECT("'Consolidated tables'!"&amp;VLOOKUP(AJ7,AO:AP,2,FALSE)&amp;":"&amp;VLOOKUP(AJ7,AO:AP,2,FALSE)))</f>
        <v>35.224783639297577</v>
      </c>
      <c r="AN7" s="1">
        <f ca="1">SUMIF('Consolidated tables'!B:B,'Sugden End example'!$T$15,INDIRECT("'Consolidated tables'!"&amp;VLOOKUP(AJ7,AO:AP,2,FALSE)&amp;":"&amp;VLOOKUP(AJ7,AO:AP,2,FALSE)))</f>
        <v>0</v>
      </c>
      <c r="AO7">
        <v>1</v>
      </c>
      <c r="AP7" t="s">
        <v>12</v>
      </c>
      <c r="AQ7" s="1"/>
    </row>
    <row r="8" spans="1:43" ht="24" customHeight="1" thickBot="1">
      <c r="A8" s="37" t="s">
        <v>98</v>
      </c>
      <c r="B8" s="71" t="s">
        <v>6</v>
      </c>
      <c r="D8" s="19">
        <v>1000</v>
      </c>
      <c r="E8" s="36" t="s">
        <v>99</v>
      </c>
      <c r="AJ8">
        <v>8</v>
      </c>
      <c r="AK8">
        <f t="shared" si="0"/>
        <v>10</v>
      </c>
      <c r="AL8">
        <f ca="1">SUMIF('Consolidated tables'!B:B,'Sugden End example'!$T$10,INDIRECT("'Consolidated tables'!"&amp;VLOOKUP(AJ8,AO:AP,2,FALSE)&amp;":"&amp;VLOOKUP(AJ8,AO:AP,2,FALSE)))</f>
        <v>0.41189327239990398</v>
      </c>
      <c r="AM8" s="1">
        <f ca="1">SUMIF('Consolidated tables'!B:B,'Sugden End example'!$T$14,INDIRECT("'Consolidated tables'!"&amp;VLOOKUP(AJ8,AO:AP,2,FALSE)&amp;":"&amp;VLOOKUP(AJ8,AO:AP,2,FALSE)))</f>
        <v>32.293256342697276</v>
      </c>
      <c r="AN8" s="1">
        <f ca="1">SUMIF('Consolidated tables'!B:B,'Sugden End example'!$T$15,INDIRECT("'Consolidated tables'!"&amp;VLOOKUP(AJ8,AO:AP,2,FALSE)&amp;":"&amp;VLOOKUP(AJ8,AO:AP,2,FALSE)))</f>
        <v>0</v>
      </c>
      <c r="AO8">
        <v>2</v>
      </c>
      <c r="AP8" t="s">
        <v>13</v>
      </c>
      <c r="AQ8" s="1"/>
    </row>
    <row r="9" spans="1:43" ht="24.95" customHeight="1">
      <c r="AJ9">
        <v>9</v>
      </c>
      <c r="AK9">
        <f t="shared" si="0"/>
        <v>10</v>
      </c>
      <c r="AL9">
        <f ca="1">SUMIF('Consolidated tables'!B:B,'Sugden End example'!$T$10,INDIRECT("'Consolidated tables'!"&amp;VLOOKUP(AJ9,AO:AP,2,FALSE)&amp;":"&amp;VLOOKUP(AJ9,AO:AP,2,FALSE)))</f>
        <v>0.37800521850585922</v>
      </c>
      <c r="AM9" s="1">
        <f ca="1">SUMIF('Consolidated tables'!B:B,'Sugden End example'!$T$14,INDIRECT("'Consolidated tables'!"&amp;VLOOKUP(AJ9,AO:AP,2,FALSE)&amp;":"&amp;VLOOKUP(AJ9,AO:AP,2,FALSE)))</f>
        <v>29.636365141296373</v>
      </c>
      <c r="AN9" s="1">
        <f ca="1">SUMIF('Consolidated tables'!B:B,'Sugden End example'!$T$15,INDIRECT("'Consolidated tables'!"&amp;VLOOKUP(AJ9,AO:AP,2,FALSE)&amp;":"&amp;VLOOKUP(AJ9,AO:AP,2,FALSE)))</f>
        <v>0</v>
      </c>
      <c r="AO9">
        <v>3</v>
      </c>
      <c r="AP9" t="s">
        <v>14</v>
      </c>
      <c r="AQ9" s="1"/>
    </row>
    <row r="10" spans="1:43" ht="26.25">
      <c r="A10" s="31" t="s">
        <v>72</v>
      </c>
      <c r="Q10" s="2"/>
      <c r="R10" s="2"/>
      <c r="S10" s="2"/>
      <c r="T10" s="3">
        <f ca="1">IF(COUNTA(D2:D8)=4,VLOOKUP(D39,AJ:AK,2,FALSE),"")</f>
        <v>30</v>
      </c>
      <c r="U10">
        <f ca="1">VLOOKUP(T10,'Consolidated tables'!B:G,6,FALSE)</f>
        <v>0.75531280517577992</v>
      </c>
      <c r="V10">
        <f ca="1">VLOOKUP(T10,'Consolidated tables'!B:G,6,FALSE)</f>
        <v>0.75531280517577992</v>
      </c>
      <c r="AJ10">
        <v>10</v>
      </c>
      <c r="AK10">
        <f t="shared" si="0"/>
        <v>10</v>
      </c>
      <c r="AL10">
        <f ca="1">SUMIF('Consolidated tables'!B:B,'Sugden End example'!$T$10,INDIRECT("'Consolidated tables'!"&amp;VLOOKUP(AJ10,AO:AP,2,FALSE)&amp;":"&amp;VLOOKUP(AJ10,AO:AP,2,FALSE)))</f>
        <v>0.34714344024658206</v>
      </c>
      <c r="AM10" s="1">
        <f ca="1">SUMIF('Consolidated tables'!B:B,'Sugden End example'!$T$14,INDIRECT("'Consolidated tables'!"&amp;VLOOKUP(AJ10,AO:AP,2,FALSE)&amp;":"&amp;VLOOKUP(AJ10,AO:AP,2,FALSE)))</f>
        <v>27.216740002212532</v>
      </c>
      <c r="AN10" s="1">
        <f ca="1">SUMIF('Consolidated tables'!B:B,'Sugden End example'!$T$15,INDIRECT("'Consolidated tables'!"&amp;VLOOKUP(AJ10,AO:AP,2,FALSE)&amp;":"&amp;VLOOKUP(AJ10,AO:AP,2,FALSE)))</f>
        <v>0</v>
      </c>
      <c r="AO10">
        <v>4</v>
      </c>
      <c r="AP10" t="s">
        <v>15</v>
      </c>
      <c r="AQ10" s="1"/>
    </row>
    <row r="11" spans="1:43" ht="20.100000000000001" customHeight="1">
      <c r="Q11" s="2"/>
      <c r="R11" s="2"/>
      <c r="S11" s="2"/>
      <c r="T11" s="3"/>
      <c r="AJ11">
        <v>11</v>
      </c>
      <c r="AK11">
        <f t="shared" si="0"/>
        <v>15</v>
      </c>
      <c r="AL11">
        <f ca="1">SUMIF('Consolidated tables'!B:B,'Sugden End example'!$T$10,INDIRECT("'Consolidated tables'!"&amp;VLOOKUP(AJ11,AO:AP,2,FALSE)&amp;":"&amp;VLOOKUP(AJ11,AO:AP,2,FALSE)))</f>
        <v>0.31895851135253922</v>
      </c>
      <c r="AM11" s="1">
        <f ca="1">SUMIF('Consolidated tables'!B:B,'Sugden End example'!$T$14,INDIRECT("'Consolidated tables'!"&amp;VLOOKUP(AJ11,AO:AP,2,FALSE)&amp;":"&amp;VLOOKUP(AJ11,AO:AP,2,FALSE)))</f>
        <v>25.006985207061781</v>
      </c>
      <c r="AN11" s="1">
        <f ca="1">SUMIF('Consolidated tables'!B:B,'Sugden End example'!$T$15,INDIRECT("'Consolidated tables'!"&amp;VLOOKUP(AJ11,AO:AP,2,FALSE)&amp;":"&amp;VLOOKUP(AJ11,AO:AP,2,FALSE)))</f>
        <v>0</v>
      </c>
      <c r="AO11">
        <v>5</v>
      </c>
      <c r="AP11" t="s">
        <v>16</v>
      </c>
      <c r="AQ11" s="1"/>
    </row>
    <row r="12" spans="1:43" ht="20.100000000000001" customHeight="1">
      <c r="Q12" s="13"/>
      <c r="R12" s="13"/>
      <c r="S12" s="13"/>
      <c r="T12" s="4">
        <f ca="1">T10+1</f>
        <v>31</v>
      </c>
      <c r="U12">
        <f ca="1">VLOOKUP(T12,'Consolidated tables'!B:H,7,FALSE)</f>
        <v>1.0257575062122866</v>
      </c>
      <c r="AJ12">
        <v>12</v>
      </c>
      <c r="AK12">
        <f t="shared" si="0"/>
        <v>15</v>
      </c>
      <c r="AL12">
        <f ca="1">SUMIF('Consolidated tables'!B:B,'Sugden End example'!$T$10,INDIRECT("'Consolidated tables'!"&amp;VLOOKUP(AJ12,AO:AP,2,FALSE)&amp;":"&amp;VLOOKUP(AJ12,AO:AP,2,FALSE)))</f>
        <v>0.29317466735839842</v>
      </c>
      <c r="AM12" s="1">
        <f ca="1">SUMIF('Consolidated tables'!B:B,'Sugden End example'!$T$14,INDIRECT("'Consolidated tables'!"&amp;VLOOKUP(AJ12,AO:AP,2,FALSE)&amp;":"&amp;VLOOKUP(AJ12,AO:AP,2,FALSE)))</f>
        <v>22.985480270233154</v>
      </c>
      <c r="AN12" s="1">
        <f ca="1">SUMIF('Consolidated tables'!B:B,'Sugden End example'!$T$15,INDIRECT("'Consolidated tables'!"&amp;VLOOKUP(AJ12,AO:AP,2,FALSE)&amp;":"&amp;VLOOKUP(AJ12,AO:AP,2,FALSE)))</f>
        <v>0</v>
      </c>
      <c r="AO12">
        <v>6</v>
      </c>
      <c r="AP12" t="s">
        <v>17</v>
      </c>
      <c r="AQ12" s="1"/>
    </row>
    <row r="13" spans="1:43" ht="20.100000000000001" customHeight="1">
      <c r="Q13" s="2"/>
      <c r="R13" s="2"/>
      <c r="S13" s="2"/>
      <c r="T13" s="4"/>
      <c r="AJ13">
        <v>13</v>
      </c>
      <c r="AK13">
        <f t="shared" si="0"/>
        <v>15</v>
      </c>
      <c r="AL13">
        <f ca="1">SUMIF('Consolidated tables'!B:B,'Sugden End example'!$T$10,INDIRECT("'Consolidated tables'!"&amp;VLOOKUP(AJ13,AO:AP,2,FALSE)&amp;":"&amp;VLOOKUP(AJ13,AO:AP,2,FALSE)))</f>
        <v>0.26956212997436518</v>
      </c>
      <c r="AM13" s="1">
        <f ca="1">SUMIF('Consolidated tables'!B:B,'Sugden End example'!$T$14,INDIRECT("'Consolidated tables'!"&amp;VLOOKUP(AJ13,AO:AP,2,FALSE)&amp;":"&amp;VLOOKUP(AJ13,AO:AP,2,FALSE)))</f>
        <v>21.134210114250177</v>
      </c>
      <c r="AN13" s="1">
        <f ca="1">SUMIF('Consolidated tables'!B:B,'Sugden End example'!$T$15,INDIRECT("'Consolidated tables'!"&amp;VLOOKUP(AJ13,AO:AP,2,FALSE)&amp;":"&amp;VLOOKUP(AJ13,AO:AP,2,FALSE)))</f>
        <v>0</v>
      </c>
      <c r="AO13">
        <v>7</v>
      </c>
      <c r="AP13" t="s">
        <v>18</v>
      </c>
      <c r="AQ13" s="1"/>
    </row>
    <row r="14" spans="1:43" ht="20.100000000000001" customHeight="1">
      <c r="Q14" s="2"/>
      <c r="R14" s="2"/>
      <c r="S14" s="2"/>
      <c r="T14" s="4">
        <f ca="1">T10+2</f>
        <v>32</v>
      </c>
      <c r="AJ14">
        <v>14</v>
      </c>
      <c r="AK14">
        <f t="shared" si="0"/>
        <v>15</v>
      </c>
      <c r="AL14">
        <f ca="1">SUMIF('Consolidated tables'!B:B,'Sugden End example'!$T$10,INDIRECT("'Consolidated tables'!"&amp;VLOOKUP(AJ14,AO:AP,2,FALSE)&amp;":"&amp;VLOOKUP(AJ14,AO:AP,2,FALSE)))</f>
        <v>0.24792236328125</v>
      </c>
      <c r="AM14" s="1">
        <f ca="1">SUMIF('Consolidated tables'!B:B,'Sugden End example'!$T$14,INDIRECT("'Consolidated tables'!"&amp;VLOOKUP(AJ14,AO:AP,2,FALSE)&amp;":"&amp;VLOOKUP(AJ14,AO:AP,2,FALSE)))</f>
        <v>19.437609125976564</v>
      </c>
      <c r="AN14" s="1">
        <f ca="1">SUMIF('Consolidated tables'!B:B,'Sugden End example'!$T$15,INDIRECT("'Consolidated tables'!"&amp;VLOOKUP(AJ14,AO:AP,2,FALSE)&amp;":"&amp;VLOOKUP(AJ14,AO:AP,2,FALSE)))</f>
        <v>0</v>
      </c>
      <c r="AO14">
        <v>8</v>
      </c>
      <c r="AP14" t="s">
        <v>19</v>
      </c>
      <c r="AQ14" s="1"/>
    </row>
    <row r="15" spans="1:43" ht="20.100000000000001" customHeight="1">
      <c r="Q15" s="2"/>
      <c r="R15" s="2"/>
      <c r="S15" s="2"/>
      <c r="T15" s="4">
        <v>18</v>
      </c>
      <c r="AJ15">
        <v>15</v>
      </c>
      <c r="AK15">
        <f t="shared" si="0"/>
        <v>15</v>
      </c>
      <c r="AL15">
        <f ca="1">SUMIF('Consolidated tables'!B:B,'Sugden End example'!$T$10,INDIRECT("'Consolidated tables'!"&amp;VLOOKUP(AJ15,AO:AP,2,FALSE)&amp;":"&amp;VLOOKUP(AJ15,AO:AP,2,FALSE)))</f>
        <v>0.22807994842529278</v>
      </c>
      <c r="AM15" s="1">
        <f ca="1">SUMIF('Consolidated tables'!B:B,'Sugden End example'!$T$14,INDIRECT("'Consolidated tables'!"&amp;VLOOKUP(AJ15,AO:AP,2,FALSE)&amp;":"&amp;VLOOKUP(AJ15,AO:AP,2,FALSE)))</f>
        <v>17.881924116439805</v>
      </c>
      <c r="AN15" s="1">
        <f ca="1">SUMIF('Consolidated tables'!B:B,'Sugden End example'!$T$15,INDIRECT("'Consolidated tables'!"&amp;VLOOKUP(AJ15,AO:AP,2,FALSE)&amp;":"&amp;VLOOKUP(AJ15,AO:AP,2,FALSE)))</f>
        <v>0</v>
      </c>
      <c r="AO15">
        <v>9</v>
      </c>
      <c r="AP15" t="s">
        <v>20</v>
      </c>
      <c r="AQ15" s="1"/>
    </row>
    <row r="16" spans="1:43" ht="20.100000000000001" customHeight="1">
      <c r="V16" t="s">
        <v>8</v>
      </c>
      <c r="W16" t="s">
        <v>89</v>
      </c>
      <c r="X16" s="9" t="s">
        <v>96</v>
      </c>
      <c r="Y16" s="10" t="s">
        <v>97</v>
      </c>
      <c r="Z16" t="s">
        <v>2</v>
      </c>
      <c r="AA16" t="s">
        <v>90</v>
      </c>
      <c r="AC16" t="s">
        <v>85</v>
      </c>
      <c r="AD16" s="40" t="s">
        <v>87</v>
      </c>
      <c r="AE16" s="10"/>
      <c r="AG16" s="10"/>
      <c r="AH16" s="10"/>
      <c r="AJ16">
        <v>16</v>
      </c>
      <c r="AK16">
        <f t="shared" si="0"/>
        <v>20</v>
      </c>
      <c r="AL16">
        <f ca="1">SUMIF('Consolidated tables'!B:B,'Sugden End example'!$T$10,INDIRECT("'Consolidated tables'!"&amp;VLOOKUP(AJ16,AO:AP,2,FALSE)&amp;":"&amp;VLOOKUP(AJ16,AO:AP,2,FALSE)))</f>
        <v>0.209877815246582</v>
      </c>
      <c r="AM16" s="1">
        <f ca="1">SUMIF('Consolidated tables'!B:B,'Sugden End example'!$T$14,INDIRECT("'Consolidated tables'!"&amp;VLOOKUP(AJ16,AO:AP,2,FALSE)&amp;":"&amp;VLOOKUP(AJ16,AO:AP,2,FALSE)))</f>
        <v>16.45484047096252</v>
      </c>
      <c r="AN16" s="1">
        <f ca="1">SUMIF('Consolidated tables'!B:B,'Sugden End example'!$T$15,INDIRECT("'Consolidated tables'!"&amp;VLOOKUP(AJ16,AO:AP,2,FALSE)&amp;":"&amp;VLOOKUP(AJ16,AO:AP,2,FALSE)))</f>
        <v>0</v>
      </c>
      <c r="AO16">
        <v>10</v>
      </c>
      <c r="AP16" t="s">
        <v>21</v>
      </c>
      <c r="AQ16" s="1"/>
    </row>
    <row r="17" spans="1:43" ht="20.100000000000001" customHeight="1">
      <c r="A17" s="11"/>
      <c r="D17" s="11"/>
      <c r="V17" s="1">
        <f>D6</f>
        <v>1997</v>
      </c>
      <c r="W17" s="1">
        <f ca="1">AL1*$D$8</f>
        <v>755.31280517577989</v>
      </c>
      <c r="X17" s="1">
        <f ca="1">W17*1.33</f>
        <v>1004.5660308837873</v>
      </c>
      <c r="Y17" s="1">
        <f ca="1">W17*0.67</f>
        <v>506.05957946777255</v>
      </c>
      <c r="Z17" s="1">
        <f ca="1">IF(V17=$D$2,1,0)</f>
        <v>0</v>
      </c>
      <c r="AA17" t="b">
        <f ca="1">IF(Z17=1,TRUE,FALSE)</f>
        <v>0</v>
      </c>
      <c r="AC17" s="1">
        <f t="shared" ref="AC17:AC66" ca="1" si="1">AM1*$D$8</f>
        <v>59218.034551391494</v>
      </c>
      <c r="AD17" s="1">
        <f ca="1">IF(AA17=TRUE,AC17,0)</f>
        <v>0</v>
      </c>
      <c r="AE17" s="1"/>
      <c r="AF17" s="1"/>
      <c r="AG17" s="1"/>
      <c r="AH17" s="1"/>
      <c r="AI17" s="1"/>
      <c r="AJ17">
        <v>17</v>
      </c>
      <c r="AK17">
        <f t="shared" si="0"/>
        <v>20</v>
      </c>
      <c r="AL17">
        <f ca="1">SUMIF('Consolidated tables'!B:B,'Sugden End example'!$T$10,INDIRECT("'Consolidated tables'!"&amp;VLOOKUP(AJ17,AO:AP,2,FALSE)&amp;":"&amp;VLOOKUP(AJ17,AO:AP,2,FALSE)))</f>
        <v>0.19317426681518557</v>
      </c>
      <c r="AM17" s="1">
        <f ca="1">SUMIF('Consolidated tables'!B:B,'Sugden End example'!$T$14,INDIRECT("'Consolidated tables'!"&amp;VLOOKUP(AJ17,AO:AP,2,FALSE)&amp;":"&amp;VLOOKUP(AJ17,AO:AP,2,FALSE)))</f>
        <v>15.145248866844177</v>
      </c>
      <c r="AN17" s="1">
        <f ca="1">SUMIF('Consolidated tables'!B:B,'Sugden End example'!$T$15,INDIRECT("'Consolidated tables'!"&amp;VLOOKUP(AJ17,AO:AP,2,FALSE)&amp;":"&amp;VLOOKUP(AJ17,AO:AP,2,FALSE)))</f>
        <v>0</v>
      </c>
      <c r="AO17">
        <v>11</v>
      </c>
      <c r="AP17" t="s">
        <v>22</v>
      </c>
      <c r="AQ17" s="1"/>
    </row>
    <row r="18" spans="1:43" ht="20.100000000000001" customHeight="1">
      <c r="A18" s="11"/>
      <c r="D18" s="11"/>
      <c r="V18" s="1">
        <f>V17+1</f>
        <v>1998</v>
      </c>
      <c r="W18" s="1">
        <f t="shared" ref="W18:W66" ca="1" si="2">AL2*$D$8</f>
        <v>736.34635925292798</v>
      </c>
      <c r="X18" s="1">
        <f t="shared" ref="X18:X66" ca="1" si="3">W18*1.33</f>
        <v>979.34065780639423</v>
      </c>
      <c r="Y18" s="1">
        <f t="shared" ref="Y18:Y66" ca="1" si="4">W18*0.67</f>
        <v>493.35206069946179</v>
      </c>
      <c r="Z18" s="1">
        <f t="shared" ref="Z18:Z66" ca="1" si="5">IF(V18=$D$2,1,0)</f>
        <v>0</v>
      </c>
      <c r="AA18" t="b">
        <f ca="1">IF(Z18=1,TRUE,IF(AA17=TRUE,TRUE,FALSE))</f>
        <v>0</v>
      </c>
      <c r="AC18" s="1">
        <f t="shared" ca="1" si="1"/>
        <v>57731.027258148075</v>
      </c>
      <c r="AD18" s="1">
        <f t="shared" ref="AD18:AD66" ca="1" si="6">IF(AA18=TRUE,AC18,0)</f>
        <v>0</v>
      </c>
      <c r="AE18" s="1"/>
      <c r="AF18" s="1"/>
      <c r="AG18" s="1"/>
      <c r="AH18" s="1"/>
      <c r="AI18" s="1"/>
      <c r="AJ18">
        <v>18</v>
      </c>
      <c r="AK18">
        <f t="shared" si="0"/>
        <v>20</v>
      </c>
      <c r="AL18">
        <f ca="1">SUMIF('Consolidated tables'!B:B,'Sugden End example'!$T$10,INDIRECT("'Consolidated tables'!"&amp;VLOOKUP(AJ18,AO:AP,2,FALSE)&amp;":"&amp;VLOOKUP(AJ18,AO:AP,2,FALSE)))</f>
        <v>0.17784088134765638</v>
      </c>
      <c r="AM18" s="1">
        <f ca="1">SUMIF('Consolidated tables'!B:B,'Sugden End example'!$T$14,INDIRECT("'Consolidated tables'!"&amp;VLOOKUP(AJ18,AO:AP,2,FALSE)&amp;":"&amp;VLOOKUP(AJ18,AO:AP,2,FALSE)))</f>
        <v>13.943080779418954</v>
      </c>
      <c r="AN18" s="1">
        <f ca="1">SUMIF('Consolidated tables'!B:B,'Sugden End example'!$T$15,INDIRECT("'Consolidated tables'!"&amp;VLOOKUP(AJ18,AO:AP,2,FALSE)&amp;":"&amp;VLOOKUP(AJ18,AO:AP,2,FALSE)))</f>
        <v>0</v>
      </c>
      <c r="AO18">
        <v>12</v>
      </c>
      <c r="AP18" t="s">
        <v>23</v>
      </c>
      <c r="AQ18" s="1"/>
    </row>
    <row r="19" spans="1:43">
      <c r="V19" s="1">
        <f t="shared" ref="V19:V66" si="7">V18+1</f>
        <v>1999</v>
      </c>
      <c r="W19" s="1">
        <f t="shared" ca="1" si="2"/>
        <v>657.56111145019599</v>
      </c>
      <c r="X19" s="1">
        <f t="shared" ca="1" si="3"/>
        <v>874.55627822876068</v>
      </c>
      <c r="Y19" s="1">
        <f t="shared" ca="1" si="4"/>
        <v>440.56594467163137</v>
      </c>
      <c r="Z19" s="1">
        <f t="shared" ca="1" si="5"/>
        <v>0</v>
      </c>
      <c r="AA19" t="b">
        <f t="shared" ref="AA19:AA66" ca="1" si="8">IF(Z19=1,TRUE,IF(AA18=TRUE,TRUE,FALSE))</f>
        <v>0</v>
      </c>
      <c r="AC19" s="1">
        <f t="shared" ca="1" si="1"/>
        <v>51554.106259918277</v>
      </c>
      <c r="AD19" s="1">
        <f t="shared" ca="1" si="6"/>
        <v>0</v>
      </c>
      <c r="AE19" s="1"/>
      <c r="AF19" s="1"/>
      <c r="AG19" s="1"/>
      <c r="AH19" s="1"/>
      <c r="AI19" s="1"/>
      <c r="AJ19">
        <v>19</v>
      </c>
      <c r="AK19">
        <f>AK14+5</f>
        <v>20</v>
      </c>
      <c r="AL19">
        <f ca="1">SUMIF('Consolidated tables'!B:B,'Sugden End example'!$T$10,INDIRECT("'Consolidated tables'!"&amp;VLOOKUP(AJ19,AO:AP,2,FALSE)&amp;":"&amp;VLOOKUP(AJ19,AO:AP,2,FALSE)))</f>
        <v>0.16376091003417961</v>
      </c>
      <c r="AM19" s="1">
        <f ca="1">SUMIF('Consolidated tables'!B:B,'Sugden End example'!$T$14,INDIRECT("'Consolidated tables'!"&amp;VLOOKUP(AJ19,AO:AP,2,FALSE)&amp;":"&amp;VLOOKUP(AJ19,AO:AP,2,FALSE)))</f>
        <v>12.83918286849975</v>
      </c>
      <c r="AN19" s="1">
        <f ca="1">SUMIF('Consolidated tables'!B:B,'Sugden End example'!$T$15,INDIRECT("'Consolidated tables'!"&amp;VLOOKUP(AJ19,AO:AP,2,FALSE)&amp;":"&amp;VLOOKUP(AJ19,AO:AP,2,FALSE)))</f>
        <v>0</v>
      </c>
      <c r="AO19">
        <v>13</v>
      </c>
      <c r="AP19" t="s">
        <v>24</v>
      </c>
      <c r="AQ19" s="1"/>
    </row>
    <row r="20" spans="1:43">
      <c r="V20" s="1">
        <f t="shared" si="7"/>
        <v>2000</v>
      </c>
      <c r="W20" s="1">
        <f ca="1">AL4*$D$8</f>
        <v>592.18162536621196</v>
      </c>
      <c r="X20" s="1">
        <f t="shared" ca="1" si="3"/>
        <v>787.60156173706196</v>
      </c>
      <c r="Y20" s="1">
        <f t="shared" ca="1" si="4"/>
        <v>396.76168899536202</v>
      </c>
      <c r="Z20" s="1">
        <f t="shared" ca="1" si="5"/>
        <v>0</v>
      </c>
      <c r="AA20" t="b">
        <f t="shared" ca="1" si="8"/>
        <v>0</v>
      </c>
      <c r="AC20" s="1">
        <f t="shared" ca="1" si="1"/>
        <v>46428.223791961747</v>
      </c>
      <c r="AD20" s="1">
        <f t="shared" ca="1" si="6"/>
        <v>0</v>
      </c>
      <c r="AE20" s="1"/>
      <c r="AF20" s="1"/>
      <c r="AG20" s="1"/>
      <c r="AH20" s="1"/>
      <c r="AI20" s="1"/>
      <c r="AJ20">
        <v>20</v>
      </c>
      <c r="AK20">
        <f>AK15+5</f>
        <v>20</v>
      </c>
      <c r="AL20">
        <f ca="1">SUMIF('Consolidated tables'!B:B,'Sugden End example'!$T$10,INDIRECT("'Consolidated tables'!"&amp;VLOOKUP(AJ20,AO:AP,2,FALSE)&amp;":"&amp;VLOOKUP(AJ20,AO:AP,2,FALSE)))</f>
        <v>0.1508281230926512</v>
      </c>
      <c r="AM20" s="1">
        <f ca="1">SUMIF('Consolidated tables'!B:B,'Sugden End example'!$T$14,INDIRECT("'Consolidated tables'!"&amp;VLOOKUP(AJ20,AO:AP,2,FALSE)&amp;":"&amp;VLOOKUP(AJ20,AO:AP,2,FALSE)))</f>
        <v>11.825226506710038</v>
      </c>
      <c r="AN20" s="1">
        <f ca="1">SUMIF('Consolidated tables'!B:B,'Sugden End example'!$T$15,INDIRECT("'Consolidated tables'!"&amp;VLOOKUP(AJ20,AO:AP,2,FALSE)&amp;":"&amp;VLOOKUP(AJ20,AO:AP,2,FALSE)))</f>
        <v>0</v>
      </c>
      <c r="AO20">
        <v>14</v>
      </c>
      <c r="AP20" t="s">
        <v>25</v>
      </c>
      <c r="AQ20" s="1"/>
    </row>
    <row r="21" spans="1:43">
      <c r="V21" s="1">
        <f t="shared" si="7"/>
        <v>2001</v>
      </c>
      <c r="W21" s="1">
        <f ca="1">AL5*$D$8</f>
        <v>537.85167694091592</v>
      </c>
      <c r="X21" s="1">
        <f t="shared" ca="1" si="3"/>
        <v>715.34273033141824</v>
      </c>
      <c r="Y21" s="1">
        <f t="shared" ca="1" si="4"/>
        <v>360.36062355041366</v>
      </c>
      <c r="Z21" s="1">
        <f t="shared" ca="1" si="5"/>
        <v>0</v>
      </c>
      <c r="AA21" t="b">
        <f t="shared" ca="1" si="8"/>
        <v>0</v>
      </c>
      <c r="AC21" s="1">
        <f t="shared" ca="1" si="1"/>
        <v>42168.647175521699</v>
      </c>
      <c r="AD21" s="1">
        <f t="shared" ca="1" si="6"/>
        <v>0</v>
      </c>
      <c r="AE21" s="1"/>
      <c r="AF21" s="1"/>
      <c r="AG21" s="1"/>
      <c r="AH21" s="1"/>
      <c r="AI21" s="1"/>
      <c r="AJ21">
        <v>21</v>
      </c>
      <c r="AK21">
        <f>AK16+5</f>
        <v>25</v>
      </c>
      <c r="AL21">
        <f ca="1">SUMIF('Consolidated tables'!B:B,'Sugden End example'!$T$10,INDIRECT("'Consolidated tables'!"&amp;VLOOKUP(AJ21,AO:AP,2,FALSE)&amp;":"&amp;VLOOKUP(AJ21,AO:AP,2,FALSE)))</f>
        <v>0.13894573211669919</v>
      </c>
      <c r="AM21" s="1">
        <f ca="1">SUMIF('Consolidated tables'!B:B,'Sugden End example'!$T$14,INDIRECT("'Consolidated tables'!"&amp;VLOOKUP(AJ21,AO:AP,2,FALSE)&amp;":"&amp;VLOOKUP(AJ21,AO:AP,2,FALSE)))</f>
        <v>10.893623289413451</v>
      </c>
      <c r="AN21" s="1">
        <f ca="1">SUMIF('Consolidated tables'!B:B,'Sugden End example'!$T$15,INDIRECT("'Consolidated tables'!"&amp;VLOOKUP(AJ21,AO:AP,2,FALSE)&amp;":"&amp;VLOOKUP(AJ21,AO:AP,2,FALSE)))</f>
        <v>0</v>
      </c>
      <c r="AO21">
        <v>15</v>
      </c>
      <c r="AP21" t="s">
        <v>26</v>
      </c>
      <c r="AQ21" s="1"/>
    </row>
    <row r="22" spans="1:43">
      <c r="V22" s="1">
        <f t="shared" si="7"/>
        <v>2002</v>
      </c>
      <c r="W22" s="1">
        <f t="shared" ca="1" si="2"/>
        <v>490.887184143068</v>
      </c>
      <c r="X22" s="1">
        <f t="shared" ca="1" si="3"/>
        <v>652.8799549102805</v>
      </c>
      <c r="Y22" s="1">
        <f t="shared" ca="1" si="4"/>
        <v>328.89441337585561</v>
      </c>
      <c r="Z22" s="1">
        <f t="shared" ca="1" si="5"/>
        <v>0</v>
      </c>
      <c r="AA22" t="b">
        <f t="shared" ca="1" si="8"/>
        <v>0</v>
      </c>
      <c r="AC22" s="1">
        <f t="shared" ca="1" si="1"/>
        <v>38486.537011184817</v>
      </c>
      <c r="AD22" s="1">
        <f t="shared" ca="1" si="6"/>
        <v>0</v>
      </c>
      <c r="AE22" s="1"/>
      <c r="AF22" s="1"/>
      <c r="AG22" s="1"/>
      <c r="AH22" s="1"/>
      <c r="AI22" s="1"/>
      <c r="AJ22">
        <v>22</v>
      </c>
      <c r="AK22">
        <f>AK17+5</f>
        <v>25</v>
      </c>
      <c r="AL22">
        <f ca="1">SUMIF('Consolidated tables'!B:B,'Sugden End example'!$T$10,INDIRECT("'Consolidated tables'!"&amp;VLOOKUP(AJ22,AO:AP,2,FALSE)&amp;":"&amp;VLOOKUP(AJ22,AO:AP,2,FALSE)))</f>
        <v>0.12802542686462401</v>
      </c>
      <c r="AM22" s="1">
        <f ca="1">SUMIF('Consolidated tables'!B:B,'Sugden End example'!$T$14,INDIRECT("'Consolidated tables'!"&amp;VLOOKUP(AJ22,AO:AP,2,FALSE)&amp;":"&amp;VLOOKUP(AJ22,AO:AP,2,FALSE)))</f>
        <v>10.037449517040251</v>
      </c>
      <c r="AN22" s="1">
        <f ca="1">SUMIF('Consolidated tables'!B:B,'Sugden End example'!$T$15,INDIRECT("'Consolidated tables'!"&amp;VLOOKUP(AJ22,AO:AP,2,FALSE)&amp;":"&amp;VLOOKUP(AJ22,AO:AP,2,FALSE)))</f>
        <v>0</v>
      </c>
      <c r="AO22">
        <v>16</v>
      </c>
      <c r="AP22" t="s">
        <v>27</v>
      </c>
      <c r="AQ22" s="1"/>
    </row>
    <row r="23" spans="1:43">
      <c r="V23" s="1">
        <f t="shared" si="7"/>
        <v>2003</v>
      </c>
      <c r="W23" s="1">
        <f t="shared" ca="1" si="2"/>
        <v>449.28424835205197</v>
      </c>
      <c r="X23" s="1">
        <f t="shared" ca="1" si="3"/>
        <v>597.54805030822911</v>
      </c>
      <c r="Y23" s="1">
        <f t="shared" ca="1" si="4"/>
        <v>301.02044639587484</v>
      </c>
      <c r="Z23" s="1">
        <f t="shared" ca="1" si="5"/>
        <v>0</v>
      </c>
      <c r="AA23" t="b">
        <f t="shared" ca="1" si="8"/>
        <v>0</v>
      </c>
      <c r="AC23" s="1">
        <f t="shared" ca="1" si="1"/>
        <v>35224.783639297581</v>
      </c>
      <c r="AD23" s="1">
        <f t="shared" ca="1" si="6"/>
        <v>0</v>
      </c>
      <c r="AE23" s="1"/>
      <c r="AF23" s="1"/>
      <c r="AG23" s="1"/>
      <c r="AH23" s="1"/>
      <c r="AI23" s="1"/>
      <c r="AJ23">
        <v>23</v>
      </c>
      <c r="AK23">
        <f>AK18+5</f>
        <v>25</v>
      </c>
      <c r="AL23">
        <f ca="1">SUMIF('Consolidated tables'!B:B,'Sugden End example'!$T$10,INDIRECT("'Consolidated tables'!"&amp;VLOOKUP(AJ23,AO:AP,2,FALSE)&amp;":"&amp;VLOOKUP(AJ23,AO:AP,2,FALSE)))</f>
        <v>0.11798666000366201</v>
      </c>
      <c r="AM23" s="1">
        <f ca="1">SUMIF('Consolidated tables'!B:B,'Sugden End example'!$T$14,INDIRECT("'Consolidated tables'!"&amp;VLOOKUP(AJ23,AO:AP,2,FALSE)&amp;":"&amp;VLOOKUP(AJ23,AO:AP,2,FALSE)))</f>
        <v>9.2503901176071093</v>
      </c>
      <c r="AN23" s="1">
        <f ca="1">SUMIF('Consolidated tables'!B:B,'Sugden End example'!$T$15,INDIRECT("'Consolidated tables'!"&amp;VLOOKUP(AJ23,AO:AP,2,FALSE)&amp;":"&amp;VLOOKUP(AJ23,AO:AP,2,FALSE)))</f>
        <v>0</v>
      </c>
      <c r="AO23">
        <v>17</v>
      </c>
      <c r="AP23" t="s">
        <v>28</v>
      </c>
      <c r="AQ23" s="1"/>
    </row>
    <row r="24" spans="1:43">
      <c r="V24" s="1">
        <f t="shared" si="7"/>
        <v>2004</v>
      </c>
      <c r="W24" s="1">
        <f t="shared" ca="1" si="2"/>
        <v>411.89327239990399</v>
      </c>
      <c r="X24" s="1">
        <f t="shared" ca="1" si="3"/>
        <v>547.81805229187239</v>
      </c>
      <c r="Y24" s="1">
        <f t="shared" ca="1" si="4"/>
        <v>275.96849250793571</v>
      </c>
      <c r="Z24" s="1">
        <f t="shared" ca="1" si="5"/>
        <v>0</v>
      </c>
      <c r="AA24" t="b">
        <f t="shared" ca="1" si="8"/>
        <v>0</v>
      </c>
      <c r="AC24" s="1">
        <f t="shared" ca="1" si="1"/>
        <v>32293.256342697277</v>
      </c>
      <c r="AD24" s="1">
        <f t="shared" ca="1" si="6"/>
        <v>0</v>
      </c>
      <c r="AE24" s="1"/>
      <c r="AF24" s="1"/>
      <c r="AG24" s="1"/>
      <c r="AH24" s="1"/>
      <c r="AI24" s="1"/>
      <c r="AJ24">
        <v>24</v>
      </c>
      <c r="AK24">
        <f t="shared" si="0"/>
        <v>25</v>
      </c>
      <c r="AL24">
        <f ca="1">SUMIF('Consolidated tables'!B:B,'Sugden End example'!$T$10,INDIRECT("'Consolidated tables'!"&amp;VLOOKUP(AJ24,AO:AP,2,FALSE)&amp;":"&amp;VLOOKUP(AJ24,AO:AP,2,FALSE)))</f>
        <v>0.1087558841705324</v>
      </c>
      <c r="AM24" s="1">
        <f ca="1">SUMIF('Consolidated tables'!B:B,'Sugden End example'!$T$14,INDIRECT("'Consolidated tables'!"&amp;VLOOKUP(AJ24,AO:AP,2,FALSE)&amp;":"&amp;VLOOKUP(AJ24,AO:AP,2,FALSE)))</f>
        <v>8.5266788307380796</v>
      </c>
      <c r="AN24" s="1">
        <f ca="1">SUMIF('Consolidated tables'!B:B,'Sugden End example'!$T$15,INDIRECT("'Consolidated tables'!"&amp;VLOOKUP(AJ24,AO:AP,2,FALSE)&amp;":"&amp;VLOOKUP(AJ24,AO:AP,2,FALSE)))</f>
        <v>0</v>
      </c>
      <c r="AO24">
        <v>18</v>
      </c>
      <c r="AP24" t="s">
        <v>29</v>
      </c>
      <c r="AQ24" s="1"/>
    </row>
    <row r="25" spans="1:43">
      <c r="V25" s="1">
        <f t="shared" si="7"/>
        <v>2005</v>
      </c>
      <c r="W25" s="1">
        <f t="shared" ca="1" si="2"/>
        <v>378.0052185058592</v>
      </c>
      <c r="X25" s="1">
        <f t="shared" ca="1" si="3"/>
        <v>502.74694061279274</v>
      </c>
      <c r="Y25" s="1">
        <f t="shared" ca="1" si="4"/>
        <v>253.2634963989257</v>
      </c>
      <c r="Z25" s="1">
        <f t="shared" ca="1" si="5"/>
        <v>0</v>
      </c>
      <c r="AA25" t="b">
        <f t="shared" ca="1" si="8"/>
        <v>0</v>
      </c>
      <c r="AC25" s="1">
        <f t="shared" ca="1" si="1"/>
        <v>29636.365141296374</v>
      </c>
      <c r="AD25" s="1">
        <f t="shared" ca="1" si="6"/>
        <v>0</v>
      </c>
      <c r="AE25" s="1"/>
      <c r="AF25" s="1"/>
      <c r="AG25" s="1"/>
      <c r="AH25" s="1"/>
      <c r="AI25" s="1"/>
      <c r="AJ25">
        <v>25</v>
      </c>
      <c r="AK25">
        <f t="shared" si="0"/>
        <v>25</v>
      </c>
      <c r="AL25">
        <f ca="1">SUMIF('Consolidated tables'!B:B,'Sugden End example'!$T$10,INDIRECT("'Consolidated tables'!"&amp;VLOOKUP(AJ25,AO:AP,2,FALSE)&amp;":"&amp;VLOOKUP(AJ25,AO:AP,2,FALSE)))</f>
        <v>0.10026595115661641</v>
      </c>
      <c r="AM25" s="1">
        <f ca="1">SUMIF('Consolidated tables'!B:B,'Sugden End example'!$T$14,INDIRECT("'Consolidated tables'!"&amp;VLOOKUP(AJ25,AO:AP,2,FALSE)&amp;":"&amp;VLOOKUP(AJ25,AO:AP,2,FALSE)))</f>
        <v>7.8610511025810386</v>
      </c>
      <c r="AN25" s="1">
        <f ca="1">SUMIF('Consolidated tables'!B:B,'Sugden End example'!$T$15,INDIRECT("'Consolidated tables'!"&amp;VLOOKUP(AJ25,AO:AP,2,FALSE)&amp;":"&amp;VLOOKUP(AJ25,AO:AP,2,FALSE)))</f>
        <v>0</v>
      </c>
      <c r="AO25">
        <v>19</v>
      </c>
      <c r="AP25" t="s">
        <v>30</v>
      </c>
      <c r="AQ25" s="1"/>
    </row>
    <row r="26" spans="1:43">
      <c r="V26" s="1">
        <f t="shared" si="7"/>
        <v>2006</v>
      </c>
      <c r="W26" s="1">
        <f t="shared" ca="1" si="2"/>
        <v>347.14344024658203</v>
      </c>
      <c r="X26" s="1">
        <f t="shared" ca="1" si="3"/>
        <v>461.70077552795414</v>
      </c>
      <c r="Y26" s="1">
        <f t="shared" ca="1" si="4"/>
        <v>232.58610496520998</v>
      </c>
      <c r="Z26" s="1">
        <f t="shared" ca="1" si="5"/>
        <v>0</v>
      </c>
      <c r="AA26" t="b">
        <f t="shared" ca="1" si="8"/>
        <v>0</v>
      </c>
      <c r="AC26" s="1">
        <f t="shared" ca="1" si="1"/>
        <v>27216.740002212533</v>
      </c>
      <c r="AD26" s="1">
        <f t="shared" ca="1" si="6"/>
        <v>0</v>
      </c>
      <c r="AE26" s="1"/>
      <c r="AF26" s="1"/>
      <c r="AG26" s="1"/>
      <c r="AH26" s="1"/>
      <c r="AI26" s="1"/>
      <c r="AJ26">
        <v>26</v>
      </c>
      <c r="AK26">
        <f t="shared" si="0"/>
        <v>30</v>
      </c>
      <c r="AL26">
        <f ca="1">SUMIF('Consolidated tables'!B:B,'Sugden End example'!$T$10,INDIRECT("'Consolidated tables'!"&amp;VLOOKUP(AJ26,AO:AP,2,FALSE)&amp;":"&amp;VLOOKUP(AJ26,AO:AP,2,FALSE)))</f>
        <v>9.2455472946166795E-2</v>
      </c>
      <c r="AM26" s="1">
        <f ca="1">SUMIF('Consolidated tables'!B:B,'Sugden End example'!$T$14,INDIRECT("'Consolidated tables'!"&amp;VLOOKUP(AJ26,AO:AP,2,FALSE)&amp;":"&amp;VLOOKUP(AJ26,AO:AP,2,FALSE)))</f>
        <v>7.2486939899253686</v>
      </c>
      <c r="AN26" s="1">
        <f ca="1">SUMIF('Consolidated tables'!B:B,'Sugden End example'!$T$15,INDIRECT("'Consolidated tables'!"&amp;VLOOKUP(AJ26,AO:AP,2,FALSE)&amp;":"&amp;VLOOKUP(AJ26,AO:AP,2,FALSE)))</f>
        <v>0</v>
      </c>
      <c r="AO26">
        <v>20</v>
      </c>
      <c r="AP26" t="s">
        <v>31</v>
      </c>
      <c r="AQ26" s="1"/>
    </row>
    <row r="27" spans="1:43">
      <c r="V27" s="1">
        <f t="shared" si="7"/>
        <v>2007</v>
      </c>
      <c r="W27" s="1">
        <f t="shared" ca="1" si="2"/>
        <v>318.95851135253923</v>
      </c>
      <c r="X27" s="1">
        <f t="shared" ca="1" si="3"/>
        <v>424.21482009887723</v>
      </c>
      <c r="Y27" s="1">
        <f t="shared" ca="1" si="4"/>
        <v>213.7022026062013</v>
      </c>
      <c r="Z27" s="1">
        <f t="shared" ca="1" si="5"/>
        <v>0</v>
      </c>
      <c r="AA27" t="b">
        <f t="shared" ca="1" si="8"/>
        <v>0</v>
      </c>
      <c r="AC27" s="1">
        <f t="shared" ca="1" si="1"/>
        <v>25006.985207061782</v>
      </c>
      <c r="AD27" s="1">
        <f t="shared" ca="1" si="6"/>
        <v>0</v>
      </c>
      <c r="AE27" s="1"/>
      <c r="AF27" s="1"/>
      <c r="AG27" s="1"/>
      <c r="AH27" s="1"/>
      <c r="AI27" s="1"/>
      <c r="AJ27">
        <v>27</v>
      </c>
      <c r="AK27">
        <f t="shared" si="0"/>
        <v>30</v>
      </c>
      <c r="AL27">
        <f ca="1">SUMIF('Consolidated tables'!B:B,'Sugden End example'!$T$10,INDIRECT("'Consolidated tables'!"&amp;VLOOKUP(AJ27,AO:AP,2,FALSE)&amp;":"&amp;VLOOKUP(AJ27,AO:AP,2,FALSE)))</f>
        <v>8.5268363952636803E-2</v>
      </c>
      <c r="AM27" s="1">
        <f ca="1">SUMIF('Consolidated tables'!B:B,'Sugden End example'!$T$14,INDIRECT("'Consolidated tables'!"&amp;VLOOKUP(AJ27,AO:AP,2,FALSE)&amp;":"&amp;VLOOKUP(AJ27,AO:AP,2,FALSE)))</f>
        <v>6.6852102706146308</v>
      </c>
      <c r="AN27" s="1">
        <f ca="1">SUMIF('Consolidated tables'!B:B,'Sugden End example'!$T$15,INDIRECT("'Consolidated tables'!"&amp;VLOOKUP(AJ27,AO:AP,2,FALSE)&amp;":"&amp;VLOOKUP(AJ27,AO:AP,2,FALSE)))</f>
        <v>0</v>
      </c>
      <c r="AO27">
        <v>21</v>
      </c>
      <c r="AP27" t="s">
        <v>32</v>
      </c>
      <c r="AQ27" s="1"/>
    </row>
    <row r="28" spans="1:43">
      <c r="V28" s="1">
        <f>V27+1</f>
        <v>2008</v>
      </c>
      <c r="W28" s="1">
        <f t="shared" ca="1" si="2"/>
        <v>293.17466735839844</v>
      </c>
      <c r="X28" s="1">
        <f t="shared" ca="1" si="3"/>
        <v>389.92230758666994</v>
      </c>
      <c r="Y28" s="1">
        <f t="shared" ca="1" si="4"/>
        <v>196.42702713012696</v>
      </c>
      <c r="Z28" s="1">
        <f t="shared" ca="1" si="5"/>
        <v>0</v>
      </c>
      <c r="AA28" t="b">
        <f t="shared" ca="1" si="8"/>
        <v>0</v>
      </c>
      <c r="AC28" s="1">
        <f t="shared" ca="1" si="1"/>
        <v>22985.480270233154</v>
      </c>
      <c r="AD28" s="1">
        <f t="shared" ca="1" si="6"/>
        <v>0</v>
      </c>
      <c r="AE28" s="1"/>
      <c r="AF28" s="1"/>
      <c r="AG28" s="1"/>
      <c r="AH28" s="1"/>
      <c r="AI28" s="1"/>
      <c r="AJ28">
        <v>28</v>
      </c>
      <c r="AK28">
        <f t="shared" si="0"/>
        <v>30</v>
      </c>
      <c r="AL28">
        <f ca="1">SUMIF('Consolidated tables'!B:B,'Sugden End example'!$T$10,INDIRECT("'Consolidated tables'!"&amp;VLOOKUP(AJ28,AO:AP,2,FALSE)&amp;":"&amp;VLOOKUP(AJ28,AO:AP,2,FALSE)))</f>
        <v>7.8653326034546001E-2</v>
      </c>
      <c r="AM28" s="1">
        <f ca="1">SUMIF('Consolidated tables'!B:B,'Sugden End example'!$T$14,INDIRECT("'Consolidated tables'!"&amp;VLOOKUP(AJ28,AO:AP,2,FALSE)&amp;":"&amp;VLOOKUP(AJ28,AO:AP,2,FALSE)))</f>
        <v>6.1665780677604758</v>
      </c>
      <c r="AN28" s="1">
        <f ca="1">SUMIF('Consolidated tables'!B:B,'Sugden End example'!$T$15,INDIRECT("'Consolidated tables'!"&amp;VLOOKUP(AJ28,AO:AP,2,FALSE)&amp;":"&amp;VLOOKUP(AJ28,AO:AP,2,FALSE)))</f>
        <v>0</v>
      </c>
      <c r="AO28">
        <v>22</v>
      </c>
      <c r="AP28" t="s">
        <v>33</v>
      </c>
      <c r="AQ28" s="1"/>
    </row>
    <row r="29" spans="1:43">
      <c r="V29" s="1">
        <f t="shared" si="7"/>
        <v>2009</v>
      </c>
      <c r="W29" s="1">
        <f t="shared" ca="1" si="2"/>
        <v>269.56212997436518</v>
      </c>
      <c r="X29" s="1">
        <f t="shared" ca="1" si="3"/>
        <v>358.51763286590568</v>
      </c>
      <c r="Y29" s="1">
        <f t="shared" ca="1" si="4"/>
        <v>180.60662708282467</v>
      </c>
      <c r="Z29" s="1">
        <f t="shared" ca="1" si="5"/>
        <v>0</v>
      </c>
      <c r="AA29" t="b">
        <f t="shared" ca="1" si="8"/>
        <v>0</v>
      </c>
      <c r="AC29" s="1">
        <f t="shared" ca="1" si="1"/>
        <v>21134.210114250178</v>
      </c>
      <c r="AD29" s="1">
        <f t="shared" ca="1" si="6"/>
        <v>0</v>
      </c>
      <c r="AE29" s="1"/>
      <c r="AF29" s="1"/>
      <c r="AG29" s="1"/>
      <c r="AH29" s="1"/>
      <c r="AI29" s="1"/>
      <c r="AJ29">
        <v>29</v>
      </c>
      <c r="AK29">
        <f t="shared" si="0"/>
        <v>30</v>
      </c>
      <c r="AL29">
        <f ca="1">SUMIF('Consolidated tables'!B:B,'Sugden End example'!$T$10,INDIRECT("'Consolidated tables'!"&amp;VLOOKUP(AJ29,AO:AP,2,FALSE)&amp;":"&amp;VLOOKUP(AJ29,AO:AP,2,FALSE)))</f>
        <v>7.2563452720642005E-2</v>
      </c>
      <c r="AM29" s="1">
        <f ca="1">SUMIF('Consolidated tables'!B:B,'Sugden End example'!$T$14,INDIRECT("'Consolidated tables'!"&amp;VLOOKUP(AJ29,AO:AP,2,FALSE)&amp;":"&amp;VLOOKUP(AJ29,AO:AP,2,FALSE)))</f>
        <v>5.689119820203774</v>
      </c>
      <c r="AN29" s="1">
        <f ca="1">SUMIF('Consolidated tables'!B:B,'Sugden End example'!$T$15,INDIRECT("'Consolidated tables'!"&amp;VLOOKUP(AJ29,AO:AP,2,FALSE)&amp;":"&amp;VLOOKUP(AJ29,AO:AP,2,FALSE)))</f>
        <v>0</v>
      </c>
      <c r="AO29">
        <v>23</v>
      </c>
      <c r="AP29" t="s">
        <v>34</v>
      </c>
      <c r="AQ29" s="1"/>
    </row>
    <row r="30" spans="1:43">
      <c r="V30" s="1">
        <f t="shared" si="7"/>
        <v>2010</v>
      </c>
      <c r="W30" s="1">
        <f t="shared" ca="1" si="2"/>
        <v>247.92236328125</v>
      </c>
      <c r="X30" s="1">
        <f t="shared" ca="1" si="3"/>
        <v>329.73674316406255</v>
      </c>
      <c r="Y30" s="1">
        <f t="shared" ca="1" si="4"/>
        <v>166.10798339843751</v>
      </c>
      <c r="Z30" s="1">
        <f t="shared" ca="1" si="5"/>
        <v>0</v>
      </c>
      <c r="AA30" t="b">
        <f t="shared" ca="1" si="8"/>
        <v>0</v>
      </c>
      <c r="AC30" s="1">
        <f t="shared" ca="1" si="1"/>
        <v>19437.609125976564</v>
      </c>
      <c r="AD30" s="1">
        <f t="shared" ca="1" si="6"/>
        <v>0</v>
      </c>
      <c r="AE30" s="1"/>
      <c r="AF30" s="1"/>
      <c r="AG30" s="1"/>
      <c r="AH30" s="1"/>
      <c r="AI30" s="1"/>
      <c r="AJ30">
        <v>30</v>
      </c>
      <c r="AK30">
        <f t="shared" si="0"/>
        <v>30</v>
      </c>
      <c r="AL30">
        <f ca="1">SUMIF('Consolidated tables'!B:B,'Sugden End example'!$T$10,INDIRECT("'Consolidated tables'!"&amp;VLOOKUP(AJ30,AO:AP,2,FALSE)&amp;":"&amp;VLOOKUP(AJ30,AO:AP,2,FALSE)))</f>
        <v>6.6955809593200799E-2</v>
      </c>
      <c r="AM30" s="1">
        <f ca="1">SUMIF('Consolidated tables'!B:B,'Sugden End example'!$T$14,INDIRECT("'Consolidated tables'!"&amp;VLOOKUP(AJ30,AO:AP,2,FALSE)&amp;":"&amp;VLOOKUP(AJ30,AO:AP,2,FALSE)))</f>
        <v>5.2494693837261286</v>
      </c>
      <c r="AN30" s="1">
        <f ca="1">SUMIF('Consolidated tables'!B:B,'Sugden End example'!$T$15,INDIRECT("'Consolidated tables'!"&amp;VLOOKUP(AJ30,AO:AP,2,FALSE)&amp;":"&amp;VLOOKUP(AJ30,AO:AP,2,FALSE)))</f>
        <v>0</v>
      </c>
      <c r="AO30">
        <v>24</v>
      </c>
      <c r="AP30" t="s">
        <v>35</v>
      </c>
      <c r="AQ30" s="1"/>
    </row>
    <row r="31" spans="1:43">
      <c r="V31" s="1">
        <f t="shared" si="7"/>
        <v>2011</v>
      </c>
      <c r="W31" s="1">
        <f t="shared" ca="1" si="2"/>
        <v>228.07994842529277</v>
      </c>
      <c r="X31" s="1">
        <f t="shared" ca="1" si="3"/>
        <v>303.34633140563938</v>
      </c>
      <c r="Y31" s="1">
        <f t="shared" ca="1" si="4"/>
        <v>152.81356544494616</v>
      </c>
      <c r="Z31" s="1">
        <f t="shared" ca="1" si="5"/>
        <v>0</v>
      </c>
      <c r="AA31" t="b">
        <f t="shared" ca="1" si="8"/>
        <v>0</v>
      </c>
      <c r="AC31" s="1">
        <f t="shared" ca="1" si="1"/>
        <v>17881.924116439804</v>
      </c>
      <c r="AD31" s="1">
        <f t="shared" ca="1" si="6"/>
        <v>0</v>
      </c>
      <c r="AE31" s="1"/>
      <c r="AF31" s="1"/>
      <c r="AG31" s="1"/>
      <c r="AH31" s="1"/>
      <c r="AI31" s="1"/>
      <c r="AJ31">
        <v>31</v>
      </c>
      <c r="AK31">
        <f t="shared" si="0"/>
        <v>35</v>
      </c>
      <c r="AL31">
        <f ca="1">SUMIF('Consolidated tables'!B:B,'Sugden End example'!$T$10,INDIRECT("'Consolidated tables'!"&amp;VLOOKUP(AJ31,AO:AP,2,FALSE)&amp;":"&amp;VLOOKUP(AJ31,AO:AP,2,FALSE)))</f>
        <v>6.1791105270385602E-2</v>
      </c>
      <c r="AM31" s="1">
        <f ca="1">SUMIF('Consolidated tables'!B:B,'Sugden End example'!$T$14,INDIRECT("'Consolidated tables'!"&amp;VLOOKUP(AJ31,AO:AP,2,FALSE)&amp;":"&amp;VLOOKUP(AJ31,AO:AP,2,FALSE)))</f>
        <v>4.8445462354087718</v>
      </c>
      <c r="AN31" s="1">
        <f ca="1">SUMIF('Consolidated tables'!B:B,'Sugden End example'!$T$15,INDIRECT("'Consolidated tables'!"&amp;VLOOKUP(AJ31,AO:AP,2,FALSE)&amp;":"&amp;VLOOKUP(AJ31,AO:AP,2,FALSE)))</f>
        <v>0</v>
      </c>
      <c r="AO31">
        <v>25</v>
      </c>
      <c r="AP31" t="s">
        <v>36</v>
      </c>
      <c r="AQ31" s="1"/>
    </row>
    <row r="32" spans="1:43">
      <c r="V32" s="1">
        <f t="shared" si="7"/>
        <v>2012</v>
      </c>
      <c r="W32" s="1">
        <f t="shared" ca="1" si="2"/>
        <v>209.877815246582</v>
      </c>
      <c r="X32" s="1">
        <f t="shared" ca="1" si="3"/>
        <v>279.13749427795409</v>
      </c>
      <c r="Y32" s="1">
        <f t="shared" ca="1" si="4"/>
        <v>140.61813621520994</v>
      </c>
      <c r="Z32" s="1">
        <f t="shared" ca="1" si="5"/>
        <v>0</v>
      </c>
      <c r="AA32" t="b">
        <f t="shared" ca="1" si="8"/>
        <v>0</v>
      </c>
      <c r="AC32" s="1">
        <f t="shared" ca="1" si="1"/>
        <v>16454.840470962521</v>
      </c>
      <c r="AD32" s="1">
        <f t="shared" ca="1" si="6"/>
        <v>0</v>
      </c>
      <c r="AE32" s="1"/>
      <c r="AF32" s="1"/>
      <c r="AG32" s="1"/>
      <c r="AH32" s="1"/>
      <c r="AI32" s="1"/>
      <c r="AJ32">
        <v>32</v>
      </c>
      <c r="AK32">
        <f t="shared" si="0"/>
        <v>35</v>
      </c>
      <c r="AL32">
        <f ca="1">SUMIF('Consolidated tables'!B:B,'Sugden End example'!$T$10,INDIRECT("'Consolidated tables'!"&amp;VLOOKUP(AJ32,AO:AP,2,FALSE)&amp;":"&amp;VLOOKUP(AJ32,AO:AP,2,FALSE)))</f>
        <v>5.7033352851867593E-2</v>
      </c>
      <c r="AM32" s="1">
        <f ca="1">SUMIF('Consolidated tables'!B:B,'Sugden End example'!$T$14,INDIRECT("'Consolidated tables'!"&amp;VLOOKUP(AJ32,AO:AP,2,FALSE)&amp;":"&amp;VLOOKUP(AJ32,AO:AP,2,FALSE)))</f>
        <v>4.4715289302921226</v>
      </c>
      <c r="AN32" s="1">
        <f ca="1">SUMIF('Consolidated tables'!B:B,'Sugden End example'!$T$15,INDIRECT("'Consolidated tables'!"&amp;VLOOKUP(AJ32,AO:AP,2,FALSE)&amp;":"&amp;VLOOKUP(AJ32,AO:AP,2,FALSE)))</f>
        <v>0</v>
      </c>
      <c r="AO32">
        <v>26</v>
      </c>
      <c r="AP32" t="s">
        <v>37</v>
      </c>
      <c r="AQ32" s="1"/>
    </row>
    <row r="33" spans="1:43">
      <c r="V33" s="1">
        <f t="shared" si="7"/>
        <v>2013</v>
      </c>
      <c r="W33" s="1">
        <f t="shared" ca="1" si="2"/>
        <v>193.17426681518558</v>
      </c>
      <c r="X33" s="1">
        <f t="shared" ca="1" si="3"/>
        <v>256.92177486419683</v>
      </c>
      <c r="Y33" s="1">
        <f t="shared" ca="1" si="4"/>
        <v>129.42675876617434</v>
      </c>
      <c r="Z33" s="1">
        <f t="shared" ca="1" si="5"/>
        <v>0</v>
      </c>
      <c r="AA33" t="b">
        <f t="shared" ca="1" si="8"/>
        <v>0</v>
      </c>
      <c r="AC33" s="1">
        <f t="shared" ca="1" si="1"/>
        <v>15145.248866844177</v>
      </c>
      <c r="AD33" s="1">
        <f t="shared" ca="1" si="6"/>
        <v>0</v>
      </c>
      <c r="AE33" s="1"/>
      <c r="AF33" s="1"/>
      <c r="AG33" s="1"/>
      <c r="AH33" s="1"/>
      <c r="AI33" s="1"/>
      <c r="AJ33">
        <v>33</v>
      </c>
      <c r="AK33">
        <f t="shared" si="0"/>
        <v>35</v>
      </c>
      <c r="AL33">
        <f ca="1">SUMIF('Consolidated tables'!B:B,'Sugden End example'!$T$10,INDIRECT("'Consolidated tables'!"&amp;VLOOKUP(AJ33,AO:AP,2,FALSE)&amp;":"&amp;VLOOKUP(AJ33,AO:AP,2,FALSE)))</f>
        <v>5.2649598121643201E-2</v>
      </c>
      <c r="AM33" s="1">
        <f ca="1">SUMIF('Consolidated tables'!B:B,'Sugden End example'!$T$14,INDIRECT("'Consolidated tables'!"&amp;VLOOKUP(AJ33,AO:AP,2,FALSE)&amp;":"&amp;VLOOKUP(AJ33,AO:AP,2,FALSE)))</f>
        <v>4.127833791933071</v>
      </c>
      <c r="AN33" s="1">
        <f ca="1">SUMIF('Consolidated tables'!B:B,'Sugden End example'!$T$15,INDIRECT("'Consolidated tables'!"&amp;VLOOKUP(AJ33,AO:AP,2,FALSE)&amp;":"&amp;VLOOKUP(AJ33,AO:AP,2,FALSE)))</f>
        <v>0</v>
      </c>
      <c r="AO33">
        <v>27</v>
      </c>
      <c r="AP33" t="s">
        <v>38</v>
      </c>
      <c r="AQ33" s="1"/>
    </row>
    <row r="34" spans="1:43">
      <c r="V34" s="1">
        <f t="shared" si="7"/>
        <v>2014</v>
      </c>
      <c r="W34" s="1">
        <f t="shared" ca="1" si="2"/>
        <v>177.84088134765639</v>
      </c>
      <c r="X34" s="1">
        <f t="shared" ca="1" si="3"/>
        <v>236.52837219238302</v>
      </c>
      <c r="Y34" s="1">
        <f t="shared" ca="1" si="4"/>
        <v>119.1533905029298</v>
      </c>
      <c r="Z34" s="1">
        <f t="shared" ca="1" si="5"/>
        <v>0</v>
      </c>
      <c r="AA34" t="b">
        <f t="shared" ca="1" si="8"/>
        <v>0</v>
      </c>
      <c r="AC34" s="1">
        <f t="shared" ca="1" si="1"/>
        <v>13943.080779418955</v>
      </c>
      <c r="AD34" s="1">
        <f t="shared" ca="1" si="6"/>
        <v>0</v>
      </c>
      <c r="AE34" s="1"/>
      <c r="AF34" s="1"/>
      <c r="AG34" s="1"/>
      <c r="AH34" s="1"/>
      <c r="AI34" s="1"/>
      <c r="AJ34">
        <v>34</v>
      </c>
      <c r="AK34">
        <f t="shared" si="0"/>
        <v>35</v>
      </c>
      <c r="AL34">
        <f ca="1">SUMIF('Consolidated tables'!B:B,'Sugden End example'!$T$10,INDIRECT("'Consolidated tables'!"&amp;VLOOKUP(AJ34,AO:AP,2,FALSE)&amp;":"&amp;VLOOKUP(AJ34,AO:AP,2,FALSE)))</f>
        <v>4.8609652519226006E-2</v>
      </c>
      <c r="AM34" s="1">
        <f ca="1">SUMIF('Consolidated tables'!B:B,'Sugden End example'!$T$14,INDIRECT("'Consolidated tables'!"&amp;VLOOKUP(AJ34,AO:AP,2,FALSE)&amp;":"&amp;VLOOKUP(AJ34,AO:AP,2,FALSE)))</f>
        <v>3.8110939768123568</v>
      </c>
      <c r="AN34" s="1">
        <f ca="1">SUMIF('Consolidated tables'!B:B,'Sugden End example'!$T$15,INDIRECT("'Consolidated tables'!"&amp;VLOOKUP(AJ34,AO:AP,2,FALSE)&amp;":"&amp;VLOOKUP(AJ34,AO:AP,2,FALSE)))</f>
        <v>0</v>
      </c>
      <c r="AO34">
        <v>28</v>
      </c>
      <c r="AP34" t="s">
        <v>39</v>
      </c>
      <c r="AQ34" s="1"/>
    </row>
    <row r="35" spans="1:43">
      <c r="V35" s="1">
        <f t="shared" si="7"/>
        <v>2015</v>
      </c>
      <c r="W35" s="1">
        <f t="shared" ca="1" si="2"/>
        <v>163.7609100341796</v>
      </c>
      <c r="X35" s="1">
        <f t="shared" ca="1" si="3"/>
        <v>217.80201034545888</v>
      </c>
      <c r="Y35" s="1">
        <f t="shared" ca="1" si="4"/>
        <v>109.71980972290034</v>
      </c>
      <c r="Z35" s="1">
        <f t="shared" ca="1" si="5"/>
        <v>1</v>
      </c>
      <c r="AA35" t="b">
        <f t="shared" ca="1" si="8"/>
        <v>1</v>
      </c>
      <c r="AC35" s="1">
        <f t="shared" ca="1" si="1"/>
        <v>12839.182868499749</v>
      </c>
      <c r="AD35" s="1">
        <f t="shared" ca="1" si="6"/>
        <v>12839.182868499749</v>
      </c>
      <c r="AE35" s="1"/>
      <c r="AF35" s="1"/>
      <c r="AG35" s="1"/>
      <c r="AH35" s="1"/>
      <c r="AI35" s="1"/>
      <c r="AJ35">
        <v>35</v>
      </c>
      <c r="AK35">
        <f t="shared" si="0"/>
        <v>35</v>
      </c>
      <c r="AL35">
        <f ca="1">SUMIF('Consolidated tables'!B:B,'Sugden End example'!$T$10,INDIRECT("'Consolidated tables'!"&amp;VLOOKUP(AJ35,AO:AP,2,FALSE)&amp;":"&amp;VLOOKUP(AJ35,AO:AP,2,FALSE)))</f>
        <v>4.4885826110840001E-2</v>
      </c>
      <c r="AM35" s="1">
        <f ca="1">SUMIF('Consolidated tables'!B:B,'Sugden End example'!$T$14,INDIRECT("'Consolidated tables'!"&amp;VLOOKUP(AJ35,AO:AP,2,FALSE)&amp;":"&amp;VLOOKUP(AJ35,AO:AP,2,FALSE)))</f>
        <v>3.5191385387420766</v>
      </c>
      <c r="AN35" s="1">
        <f ca="1">SUMIF('Consolidated tables'!B:B,'Sugden End example'!$T$15,INDIRECT("'Consolidated tables'!"&amp;VLOOKUP(AJ35,AO:AP,2,FALSE)&amp;":"&amp;VLOOKUP(AJ35,AO:AP,2,FALSE)))</f>
        <v>0</v>
      </c>
      <c r="AO35">
        <v>29</v>
      </c>
      <c r="AP35" t="s">
        <v>40</v>
      </c>
      <c r="AQ35" s="1"/>
    </row>
    <row r="36" spans="1:43">
      <c r="V36" s="1">
        <f t="shared" si="7"/>
        <v>2016</v>
      </c>
      <c r="W36" s="1">
        <f t="shared" ca="1" si="2"/>
        <v>150.8281230926512</v>
      </c>
      <c r="X36" s="1">
        <f t="shared" ca="1" si="3"/>
        <v>200.60140371322609</v>
      </c>
      <c r="Y36" s="1">
        <f t="shared" ca="1" si="4"/>
        <v>101.0548424720763</v>
      </c>
      <c r="Z36" s="1">
        <f t="shared" ca="1" si="5"/>
        <v>0</v>
      </c>
      <c r="AA36" t="b">
        <f t="shared" ca="1" si="8"/>
        <v>1</v>
      </c>
      <c r="AC36" s="1">
        <f t="shared" ca="1" si="1"/>
        <v>11825.226506710038</v>
      </c>
      <c r="AD36" s="1">
        <f t="shared" ca="1" si="6"/>
        <v>11825.226506710038</v>
      </c>
      <c r="AE36" s="1"/>
      <c r="AF36" s="1"/>
      <c r="AG36" s="1"/>
      <c r="AH36" s="1"/>
      <c r="AI36" s="1"/>
      <c r="AJ36">
        <v>36</v>
      </c>
      <c r="AK36">
        <f t="shared" si="0"/>
        <v>40</v>
      </c>
      <c r="AL36">
        <f ca="1">SUMIF('Consolidated tables'!B:B,'Sugden End example'!$T$10,INDIRECT("'Consolidated tables'!"&amp;VLOOKUP(AJ36,AO:AP,2,FALSE)&amp;":"&amp;VLOOKUP(AJ36,AO:AP,2,FALSE)))</f>
        <v>4.1452746391296397E-2</v>
      </c>
      <c r="AM36" s="1">
        <f ca="1">SUMIF('Consolidated tables'!B:B,'Sugden End example'!$T$14,INDIRECT("'Consolidated tables'!"&amp;VLOOKUP(AJ36,AO:AP,2,FALSE)&amp;":"&amp;VLOOKUP(AJ36,AO:AP,2,FALSE)))</f>
        <v>3.2499782225704195</v>
      </c>
      <c r="AN36" s="1">
        <f ca="1">SUMIF('Consolidated tables'!B:B,'Sugden End example'!$T$15,INDIRECT("'Consolidated tables'!"&amp;VLOOKUP(AJ36,AO:AP,2,FALSE)&amp;":"&amp;VLOOKUP(AJ36,AO:AP,2,FALSE)))</f>
        <v>0</v>
      </c>
      <c r="AO36">
        <v>30</v>
      </c>
      <c r="AP36" t="s">
        <v>41</v>
      </c>
      <c r="AQ36" s="1"/>
    </row>
    <row r="37" spans="1:43" ht="24.95" customHeight="1">
      <c r="A37" s="32" t="s">
        <v>92</v>
      </c>
      <c r="D37" s="1"/>
      <c r="V37" s="1">
        <f t="shared" si="7"/>
        <v>2017</v>
      </c>
      <c r="W37" s="1">
        <f t="shared" ca="1" si="2"/>
        <v>138.94573211669919</v>
      </c>
      <c r="X37" s="1">
        <f t="shared" ca="1" si="3"/>
        <v>184.79782371520994</v>
      </c>
      <c r="Y37" s="1">
        <f t="shared" ca="1" si="4"/>
        <v>93.093640518188465</v>
      </c>
      <c r="Z37" s="1">
        <f t="shared" ca="1" si="5"/>
        <v>0</v>
      </c>
      <c r="AA37" t="b">
        <f t="shared" ca="1" si="8"/>
        <v>1</v>
      </c>
      <c r="AC37" s="1">
        <f t="shared" ca="1" si="1"/>
        <v>10893.623289413452</v>
      </c>
      <c r="AD37" s="1">
        <f t="shared" ca="1" si="6"/>
        <v>10893.623289413452</v>
      </c>
      <c r="AE37" s="1"/>
      <c r="AF37" s="1"/>
      <c r="AG37" s="1"/>
      <c r="AH37" s="1"/>
      <c r="AI37" s="1"/>
      <c r="AJ37">
        <v>37</v>
      </c>
      <c r="AK37">
        <f t="shared" si="0"/>
        <v>40</v>
      </c>
      <c r="AL37">
        <f ca="1">SUMIF('Consolidated tables'!B:B,'Sugden End example'!$T$10,INDIRECT("'Consolidated tables'!"&amp;VLOOKUP(AJ37,AO:AP,2,FALSE)&amp;":"&amp;VLOOKUP(AJ37,AO:AP,2,FALSE)))</f>
        <v>3.82871413230896E-2</v>
      </c>
      <c r="AM37" s="1">
        <f ca="1">SUMIF('Consolidated tables'!B:B,'Sugden End example'!$T$14,INDIRECT("'Consolidated tables'!"&amp;VLOOKUP(AJ37,AO:AP,2,FALSE)&amp;":"&amp;VLOOKUP(AJ37,AO:AP,2,FALSE)))</f>
        <v>3.0017884540128708</v>
      </c>
      <c r="AN37" s="1">
        <f ca="1">SUMIF('Consolidated tables'!B:B,'Sugden End example'!$T$15,INDIRECT("'Consolidated tables'!"&amp;VLOOKUP(AJ37,AO:AP,2,FALSE)&amp;":"&amp;VLOOKUP(AJ37,AO:AP,2,FALSE)))</f>
        <v>0</v>
      </c>
      <c r="AO37">
        <v>31</v>
      </c>
      <c r="AP37" t="s">
        <v>42</v>
      </c>
      <c r="AQ37" s="1"/>
    </row>
    <row r="38" spans="1:43" ht="24.95" customHeight="1" thickBot="1">
      <c r="D38" s="11"/>
      <c r="V38" s="1">
        <f t="shared" si="7"/>
        <v>2018</v>
      </c>
      <c r="W38" s="1">
        <f t="shared" ca="1" si="2"/>
        <v>128.025426864624</v>
      </c>
      <c r="X38" s="1">
        <f t="shared" ca="1" si="3"/>
        <v>170.27381772994991</v>
      </c>
      <c r="Y38" s="1">
        <f t="shared" ca="1" si="4"/>
        <v>85.777035999298079</v>
      </c>
      <c r="Z38" s="1">
        <f t="shared" ca="1" si="5"/>
        <v>0</v>
      </c>
      <c r="AA38" t="b">
        <f t="shared" ca="1" si="8"/>
        <v>1</v>
      </c>
      <c r="AC38" s="1">
        <f t="shared" ca="1" si="1"/>
        <v>10037.449517040252</v>
      </c>
      <c r="AD38" s="1">
        <f t="shared" ca="1" si="6"/>
        <v>10037.449517040252</v>
      </c>
      <c r="AE38" s="1"/>
      <c r="AF38" s="1"/>
      <c r="AG38" s="1"/>
      <c r="AH38" s="1"/>
      <c r="AI38" s="1"/>
      <c r="AJ38">
        <v>38</v>
      </c>
      <c r="AK38">
        <f t="shared" si="0"/>
        <v>40</v>
      </c>
      <c r="AL38">
        <f ca="1">SUMIF('Consolidated tables'!B:B,'Sugden End example'!$T$10,INDIRECT("'Consolidated tables'!"&amp;VLOOKUP(AJ38,AO:AP,2,FALSE)&amp;":"&amp;VLOOKUP(AJ38,AO:AP,2,FALSE)))</f>
        <v>3.5367655754089358E-2</v>
      </c>
      <c r="AM38" s="1">
        <f ca="1">SUMIF('Consolidated tables'!B:B,'Sugden End example'!$T$14,INDIRECT("'Consolidated tables'!"&amp;VLOOKUP(AJ38,AO:AP,2,FALSE)&amp;":"&amp;VLOOKUP(AJ38,AO:AP,2,FALSE)))</f>
        <v>2.7728949464321135</v>
      </c>
      <c r="AN38" s="1">
        <f ca="1">SUMIF('Consolidated tables'!B:B,'Sugden End example'!$T$15,INDIRECT("'Consolidated tables'!"&amp;VLOOKUP(AJ38,AO:AP,2,FALSE)&amp;":"&amp;VLOOKUP(AJ38,AO:AP,2,FALSE)))</f>
        <v>0</v>
      </c>
      <c r="AO38">
        <v>32</v>
      </c>
      <c r="AP38" t="s">
        <v>43</v>
      </c>
      <c r="AQ38" s="1"/>
    </row>
    <row r="39" spans="1:43" ht="24.95" customHeight="1" thickBot="1">
      <c r="A39" s="37" t="s">
        <v>100</v>
      </c>
      <c r="B39" s="71" t="s">
        <v>5</v>
      </c>
      <c r="C39" s="36"/>
      <c r="D39" s="72">
        <f>D6-D4</f>
        <v>27</v>
      </c>
      <c r="E39" s="36" t="s">
        <v>69</v>
      </c>
      <c r="H39" s="2"/>
      <c r="I39" s="2"/>
      <c r="J39" s="2"/>
      <c r="K39" s="2"/>
      <c r="L39" s="2"/>
      <c r="M39" s="2"/>
      <c r="N39" s="2"/>
      <c r="O39" s="2"/>
      <c r="P39" s="2"/>
      <c r="V39" s="1">
        <f t="shared" si="7"/>
        <v>2019</v>
      </c>
      <c r="W39" s="1">
        <f t="shared" ca="1" si="2"/>
        <v>117.98666000366201</v>
      </c>
      <c r="X39" s="1">
        <f t="shared" ca="1" si="3"/>
        <v>156.92225780487047</v>
      </c>
      <c r="Y39" s="1">
        <f t="shared" ca="1" si="4"/>
        <v>79.051062202453551</v>
      </c>
      <c r="Z39" s="1">
        <f t="shared" ca="1" si="5"/>
        <v>0</v>
      </c>
      <c r="AA39" t="b">
        <f t="shared" ca="1" si="8"/>
        <v>1</v>
      </c>
      <c r="AC39" s="1">
        <f t="shared" ca="1" si="1"/>
        <v>9250.3901176071086</v>
      </c>
      <c r="AD39" s="1">
        <f t="shared" ca="1" si="6"/>
        <v>9250.3901176071086</v>
      </c>
      <c r="AE39" s="1"/>
      <c r="AF39" s="1"/>
      <c r="AG39" s="1"/>
      <c r="AH39" s="1"/>
      <c r="AI39" s="1"/>
      <c r="AJ39">
        <v>39</v>
      </c>
      <c r="AK39">
        <f t="shared" si="0"/>
        <v>40</v>
      </c>
      <c r="AL39">
        <f ca="1">SUMIF('Consolidated tables'!B:B,'Sugden End example'!$T$10,INDIRECT("'Consolidated tables'!"&amp;VLOOKUP(AJ39,AO:AP,2,FALSE)&amp;":"&amp;VLOOKUP(AJ39,AO:AP,2,FALSE)))</f>
        <v>3.2674698829650878E-2</v>
      </c>
      <c r="AM39" s="1">
        <f ca="1">SUMIF('Consolidated tables'!B:B,'Sugden End example'!$T$14,INDIRECT("'Consolidated tables'!"&amp;VLOOKUP(AJ39,AO:AP,2,FALSE)&amp;":"&amp;VLOOKUP(AJ39,AO:AP,2,FALSE)))</f>
        <v>2.5617617376422883</v>
      </c>
      <c r="AN39" s="1">
        <f ca="1">SUMIF('Consolidated tables'!B:B,'Sugden End example'!$T$15,INDIRECT("'Consolidated tables'!"&amp;VLOOKUP(AJ39,AO:AP,2,FALSE)&amp;":"&amp;VLOOKUP(AJ39,AO:AP,2,FALSE)))</f>
        <v>0</v>
      </c>
      <c r="AO39">
        <v>33</v>
      </c>
      <c r="AP39" t="s">
        <v>44</v>
      </c>
      <c r="AQ39" s="1"/>
    </row>
    <row r="40" spans="1:43" ht="24.95" customHeight="1" thickBot="1">
      <c r="A40" s="36"/>
      <c r="B40" s="36"/>
      <c r="C40" s="36"/>
      <c r="D40" s="35"/>
      <c r="E40" s="36"/>
      <c r="H40" s="2"/>
      <c r="I40" s="2"/>
      <c r="J40" s="2"/>
      <c r="K40" s="2"/>
      <c r="L40" s="2"/>
      <c r="M40" s="2"/>
      <c r="N40" s="2"/>
      <c r="O40" s="2"/>
      <c r="P40" s="2"/>
      <c r="V40" s="1">
        <f t="shared" si="7"/>
        <v>2020</v>
      </c>
      <c r="W40" s="1">
        <f t="shared" ca="1" si="2"/>
        <v>108.75588417053241</v>
      </c>
      <c r="X40" s="1">
        <f t="shared" ca="1" si="3"/>
        <v>144.64532594680813</v>
      </c>
      <c r="Y40" s="1">
        <f t="shared" ca="1" si="4"/>
        <v>72.866442394256723</v>
      </c>
      <c r="Z40" s="1">
        <f t="shared" ca="1" si="5"/>
        <v>0</v>
      </c>
      <c r="AA40" t="b">
        <f t="shared" ca="1" si="8"/>
        <v>1</v>
      </c>
      <c r="AC40" s="1">
        <f t="shared" ca="1" si="1"/>
        <v>8526.6788307380793</v>
      </c>
      <c r="AD40" s="1">
        <f t="shared" ca="1" si="6"/>
        <v>8526.6788307380793</v>
      </c>
      <c r="AE40" s="1"/>
      <c r="AF40" s="1"/>
      <c r="AG40" s="1"/>
      <c r="AH40" s="1"/>
      <c r="AI40" s="1"/>
      <c r="AJ40">
        <v>40</v>
      </c>
      <c r="AK40">
        <f t="shared" si="0"/>
        <v>40</v>
      </c>
      <c r="AL40">
        <f ca="1">SUMIF('Consolidated tables'!B:B,'Sugden End example'!$T$10,INDIRECT("'Consolidated tables'!"&amp;VLOOKUP(AJ40,AO:AP,2,FALSE)&amp;":"&amp;VLOOKUP(AJ40,AO:AP,2,FALSE)))</f>
        <v>3.0190279483795161E-2</v>
      </c>
      <c r="AM40" s="1">
        <f ca="1">SUMIF('Consolidated tables'!B:B,'Sugden End example'!$T$14,INDIRECT("'Consolidated tables'!"&amp;VLOOKUP(AJ40,AO:AP,2,FALSE)&amp;":"&amp;VLOOKUP(AJ40,AO:AP,2,FALSE)))</f>
        <v>2.3669782920885081</v>
      </c>
      <c r="AN40" s="1">
        <f ca="1">SUMIF('Consolidated tables'!B:B,'Sugden End example'!$T$15,INDIRECT("'Consolidated tables'!"&amp;VLOOKUP(AJ40,AO:AP,2,FALSE)&amp;":"&amp;VLOOKUP(AJ40,AO:AP,2,FALSE)))</f>
        <v>0</v>
      </c>
      <c r="AO40">
        <v>34</v>
      </c>
      <c r="AP40" t="s">
        <v>45</v>
      </c>
      <c r="AQ40" s="1"/>
    </row>
    <row r="41" spans="1:43" ht="24.95" customHeight="1" thickBot="1">
      <c r="A41" s="37" t="s">
        <v>101</v>
      </c>
      <c r="B41" s="71" t="s">
        <v>73</v>
      </c>
      <c r="C41" s="36"/>
      <c r="D41" s="72">
        <f ca="1">VLOOKUP(D2,V:W,2,FALSE)</f>
        <v>163.7609100341796</v>
      </c>
      <c r="E41" s="36" t="s">
        <v>105</v>
      </c>
      <c r="F41" s="52"/>
      <c r="G41" s="50"/>
      <c r="H41" s="51"/>
      <c r="I41" s="13"/>
      <c r="J41" s="13"/>
      <c r="K41" s="13"/>
      <c r="L41" s="13"/>
      <c r="M41" s="13"/>
      <c r="N41" s="13"/>
      <c r="O41" s="13"/>
      <c r="P41" s="13"/>
      <c r="V41" s="1">
        <f t="shared" si="7"/>
        <v>2021</v>
      </c>
      <c r="W41" s="1">
        <f t="shared" ca="1" si="2"/>
        <v>100.26595115661641</v>
      </c>
      <c r="X41" s="1">
        <f t="shared" ca="1" si="3"/>
        <v>133.35371503829984</v>
      </c>
      <c r="Y41" s="1">
        <f t="shared" ca="1" si="4"/>
        <v>67.178187274932995</v>
      </c>
      <c r="Z41" s="1">
        <f t="shared" ca="1" si="5"/>
        <v>0</v>
      </c>
      <c r="AA41" t="b">
        <f t="shared" ca="1" si="8"/>
        <v>1</v>
      </c>
      <c r="AC41" s="1">
        <f t="shared" ca="1" si="1"/>
        <v>7861.0511025810383</v>
      </c>
      <c r="AD41" s="1">
        <f t="shared" ca="1" si="6"/>
        <v>7861.0511025810383</v>
      </c>
      <c r="AE41" s="1"/>
      <c r="AF41" s="1"/>
      <c r="AG41" s="1"/>
      <c r="AH41" s="1"/>
      <c r="AI41" s="1"/>
      <c r="AJ41">
        <v>41</v>
      </c>
      <c r="AK41">
        <f t="shared" si="0"/>
        <v>45</v>
      </c>
      <c r="AL41">
        <f ca="1">SUMIF('Consolidated tables'!B:B,'Sugden End example'!$T$10,INDIRECT("'Consolidated tables'!"&amp;VLOOKUP(AJ41,AO:AP,2,FALSE)&amp;":"&amp;VLOOKUP(AJ41,AO:AP,2,FALSE)))</f>
        <v>2.7897884845733637E-2</v>
      </c>
      <c r="AM41" s="1">
        <f ca="1">SUMIF('Consolidated tables'!B:B,'Sugden End example'!$T$14,INDIRECT("'Consolidated tables'!"&amp;VLOOKUP(AJ41,AO:AP,2,FALSE)&amp;":"&amp;VLOOKUP(AJ41,AO:AP,2,FALSE)))</f>
        <v>2.1872499676752084</v>
      </c>
      <c r="AN41" s="1">
        <f ca="1">SUMIF('Consolidated tables'!B:B,'Sugden End example'!$T$15,INDIRECT("'Consolidated tables'!"&amp;VLOOKUP(AJ41,AO:AP,2,FALSE)&amp;":"&amp;VLOOKUP(AJ41,AO:AP,2,FALSE)))</f>
        <v>0</v>
      </c>
      <c r="AO41">
        <v>35</v>
      </c>
      <c r="AP41" t="s">
        <v>46</v>
      </c>
      <c r="AQ41" s="1"/>
    </row>
    <row r="42" spans="1:43" s="20" customFormat="1" ht="24.95" customHeight="1">
      <c r="A42" s="45"/>
      <c r="B42" s="46"/>
      <c r="D42" s="47"/>
      <c r="F42" s="48"/>
      <c r="H42" s="49"/>
      <c r="I42" s="49"/>
      <c r="J42" s="49"/>
      <c r="K42" s="49"/>
      <c r="L42" s="49"/>
      <c r="M42" s="49"/>
      <c r="N42" s="49"/>
      <c r="O42" s="49"/>
      <c r="P42" s="49"/>
      <c r="V42" s="1">
        <f t="shared" si="7"/>
        <v>2022</v>
      </c>
      <c r="W42" s="1">
        <f t="shared" ca="1" si="2"/>
        <v>92.455472946166793</v>
      </c>
      <c r="X42" s="1">
        <f t="shared" ca="1" si="3"/>
        <v>122.96577901840185</v>
      </c>
      <c r="Y42" s="1">
        <f t="shared" ca="1" si="4"/>
        <v>61.945166873931754</v>
      </c>
      <c r="Z42" s="1">
        <f t="shared" ca="1" si="5"/>
        <v>0</v>
      </c>
      <c r="AA42" t="b">
        <f t="shared" ca="1" si="8"/>
        <v>1</v>
      </c>
      <c r="AB42"/>
      <c r="AC42" s="1">
        <f t="shared" ca="1" si="1"/>
        <v>7248.6939899253684</v>
      </c>
      <c r="AD42" s="1">
        <f t="shared" ca="1" si="6"/>
        <v>7248.6939899253684</v>
      </c>
      <c r="AE42" s="1"/>
      <c r="AF42" s="1"/>
      <c r="AG42" s="1"/>
      <c r="AH42" s="1"/>
      <c r="AI42" s="1"/>
      <c r="AJ42">
        <v>42</v>
      </c>
      <c r="AK42">
        <f t="shared" si="0"/>
        <v>45</v>
      </c>
      <c r="AL42">
        <f ca="1">SUMIF('Consolidated tables'!B:B,'Sugden End example'!$T$10,INDIRECT("'Consolidated tables'!"&amp;VLOOKUP(AJ42,AO:AP,2,FALSE)&amp;":"&amp;VLOOKUP(AJ42,AO:AP,2,FALSE)))</f>
        <v>2.5782341957092281E-2</v>
      </c>
      <c r="AM42" s="1">
        <f ca="1">SUMIF('Consolidated tables'!B:B,'Sugden End example'!$T$14,INDIRECT("'Consolidated tables'!"&amp;VLOOKUP(AJ42,AO:AP,2,FALSE)&amp;":"&amp;VLOOKUP(AJ42,AO:AP,2,FALSE)))</f>
        <v>2.0213871741199494</v>
      </c>
      <c r="AN42" s="1">
        <f ca="1">SUMIF('Consolidated tables'!B:B,'Sugden End example'!$T$15,INDIRECT("'Consolidated tables'!"&amp;VLOOKUP(AJ42,AO:AP,2,FALSE)&amp;":"&amp;VLOOKUP(AJ42,AO:AP,2,FALSE)))</f>
        <v>0</v>
      </c>
      <c r="AO42">
        <v>36</v>
      </c>
      <c r="AP42" t="s">
        <v>47</v>
      </c>
      <c r="AQ42" s="12"/>
    </row>
    <row r="43" spans="1:43" s="20" customFormat="1" ht="24.95" customHeight="1">
      <c r="A43" s="32" t="s">
        <v>93</v>
      </c>
      <c r="B43" s="14"/>
      <c r="C43"/>
      <c r="D43" s="14"/>
      <c r="E43" s="14"/>
      <c r="F43" s="14"/>
      <c r="G43"/>
      <c r="H43" s="13"/>
      <c r="I43" s="49"/>
      <c r="J43" s="49"/>
      <c r="K43" s="49"/>
      <c r="L43" s="49"/>
      <c r="M43" s="49"/>
      <c r="N43" s="49"/>
      <c r="O43" s="49"/>
      <c r="P43" s="49"/>
      <c r="V43" s="1">
        <f t="shared" si="7"/>
        <v>2023</v>
      </c>
      <c r="W43" s="1">
        <f t="shared" ca="1" si="2"/>
        <v>85.268363952636804</v>
      </c>
      <c r="X43" s="1">
        <f t="shared" ca="1" si="3"/>
        <v>113.40692405700696</v>
      </c>
      <c r="Y43" s="1">
        <f t="shared" ca="1" si="4"/>
        <v>57.129803848266661</v>
      </c>
      <c r="Z43" s="1">
        <f t="shared" ca="1" si="5"/>
        <v>0</v>
      </c>
      <c r="AA43" t="b">
        <f t="shared" ca="1" si="8"/>
        <v>1</v>
      </c>
      <c r="AB43"/>
      <c r="AC43" s="1">
        <f t="shared" ca="1" si="1"/>
        <v>6685.2102706146306</v>
      </c>
      <c r="AD43" s="1">
        <f t="shared" ca="1" si="6"/>
        <v>6685.2102706146306</v>
      </c>
      <c r="AE43" s="1"/>
      <c r="AF43" s="1"/>
      <c r="AG43" s="1"/>
      <c r="AH43" s="1"/>
      <c r="AI43" s="1"/>
      <c r="AJ43">
        <v>43</v>
      </c>
      <c r="AK43">
        <f t="shared" si="0"/>
        <v>45</v>
      </c>
      <c r="AL43">
        <f ca="1">SUMIF('Consolidated tables'!B:B,'Sugden End example'!$T$10,INDIRECT("'Consolidated tables'!"&amp;VLOOKUP(AJ43,AO:AP,2,FALSE)&amp;":"&amp;VLOOKUP(AJ43,AO:AP,2,FALSE)))</f>
        <v>2.382971048355104E-2</v>
      </c>
      <c r="AM43" s="1">
        <f ca="1">SUMIF('Consolidated tables'!B:B,'Sugden End example'!$T$14,INDIRECT("'Consolidated tables'!"&amp;VLOOKUP(AJ43,AO:AP,2,FALSE)&amp;":"&amp;VLOOKUP(AJ43,AO:AP,2,FALSE)))</f>
        <v>1.8682969613313685</v>
      </c>
      <c r="AN43" s="1">
        <f ca="1">SUMIF('Consolidated tables'!B:B,'Sugden End example'!$T$15,INDIRECT("'Consolidated tables'!"&amp;VLOOKUP(AJ43,AO:AP,2,FALSE)&amp;":"&amp;VLOOKUP(AJ43,AO:AP,2,FALSE)))</f>
        <v>0</v>
      </c>
      <c r="AO43">
        <v>37</v>
      </c>
      <c r="AP43" t="s">
        <v>48</v>
      </c>
      <c r="AQ43" s="12"/>
    </row>
    <row r="44" spans="1:43" ht="24.95" customHeight="1" thickBot="1">
      <c r="A44" s="38"/>
      <c r="D44" s="11"/>
      <c r="H44" s="2"/>
      <c r="I44" s="2"/>
      <c r="J44" s="2"/>
      <c r="K44" s="2"/>
      <c r="L44" s="2"/>
      <c r="M44" s="2"/>
      <c r="N44" s="2"/>
      <c r="O44" s="2"/>
      <c r="P44" s="2"/>
      <c r="V44" s="1">
        <f t="shared" si="7"/>
        <v>2024</v>
      </c>
      <c r="W44" s="1">
        <f t="shared" ca="1" si="2"/>
        <v>78.653326034545998</v>
      </c>
      <c r="X44" s="1">
        <f t="shared" ca="1" si="3"/>
        <v>104.60892362594619</v>
      </c>
      <c r="Y44" s="1">
        <f t="shared" ca="1" si="4"/>
        <v>52.69772844314582</v>
      </c>
      <c r="Z44" s="1">
        <f t="shared" ca="1" si="5"/>
        <v>0</v>
      </c>
      <c r="AA44" t="b">
        <f t="shared" ca="1" si="8"/>
        <v>1</v>
      </c>
      <c r="AC44" s="1">
        <f t="shared" ca="1" si="1"/>
        <v>6166.5780677604762</v>
      </c>
      <c r="AD44" s="1">
        <f t="shared" ca="1" si="6"/>
        <v>6166.5780677604762</v>
      </c>
      <c r="AE44" s="1"/>
      <c r="AF44" s="1"/>
      <c r="AG44" s="1"/>
      <c r="AH44" s="1"/>
      <c r="AI44" s="1"/>
      <c r="AJ44">
        <v>44</v>
      </c>
      <c r="AK44">
        <f t="shared" si="0"/>
        <v>45</v>
      </c>
      <c r="AL44">
        <f ca="1">SUMIF('Consolidated tables'!B:B,'Sugden End example'!$T$10,INDIRECT("'Consolidated tables'!"&amp;VLOOKUP(AJ44,AO:AP,2,FALSE)&amp;":"&amp;VLOOKUP(AJ44,AO:AP,2,FALSE)))</f>
        <v>2.2027187347412117E-2</v>
      </c>
      <c r="AM44" s="1">
        <f ca="1">SUMIF('Consolidated tables'!B:B,'Sugden End example'!$T$14,INDIRECT("'Consolidated tables'!"&amp;VLOOKUP(AJ44,AO:AP,2,FALSE)&amp;":"&amp;VLOOKUP(AJ44,AO:AP,2,FALSE)))</f>
        <v>1.7269755424118047</v>
      </c>
      <c r="AN44" s="1">
        <f ca="1">SUMIF('Consolidated tables'!B:B,'Sugden End example'!$T$15,INDIRECT("'Consolidated tables'!"&amp;VLOOKUP(AJ44,AO:AP,2,FALSE)&amp;":"&amp;VLOOKUP(AJ44,AO:AP,2,FALSE)))</f>
        <v>0</v>
      </c>
      <c r="AO44">
        <v>38</v>
      </c>
      <c r="AP44" t="s">
        <v>49</v>
      </c>
      <c r="AQ44" s="1"/>
    </row>
    <row r="45" spans="1:43" ht="24.95" customHeight="1" thickBot="1">
      <c r="A45" s="37" t="s">
        <v>102</v>
      </c>
      <c r="B45" s="71" t="s">
        <v>106</v>
      </c>
      <c r="C45" s="36"/>
      <c r="D45" s="73">
        <f ca="1">VLOOKUP(D2,V$2:AI$1048576,8,FALSE)</f>
        <v>12839.182868499749</v>
      </c>
      <c r="E45" s="36" t="s">
        <v>103</v>
      </c>
      <c r="H45" s="2"/>
      <c r="I45" s="2"/>
      <c r="J45" s="2"/>
      <c r="K45" s="2"/>
      <c r="L45" s="2"/>
      <c r="M45" s="2"/>
      <c r="N45" s="2"/>
      <c r="O45" s="2"/>
      <c r="P45" s="2"/>
      <c r="V45" s="1">
        <f t="shared" si="7"/>
        <v>2025</v>
      </c>
      <c r="W45" s="1">
        <f t="shared" ca="1" si="2"/>
        <v>72.563452720642005</v>
      </c>
      <c r="X45" s="1">
        <f t="shared" ca="1" si="3"/>
        <v>96.509392118453874</v>
      </c>
      <c r="Y45" s="1">
        <f t="shared" ca="1" si="4"/>
        <v>48.617513322830149</v>
      </c>
      <c r="Z45" s="1">
        <f t="shared" ca="1" si="5"/>
        <v>0</v>
      </c>
      <c r="AA45" t="b">
        <f t="shared" ca="1" si="8"/>
        <v>1</v>
      </c>
      <c r="AC45" s="1">
        <f t="shared" ca="1" si="1"/>
        <v>5689.119820203774</v>
      </c>
      <c r="AD45" s="1">
        <f t="shared" ca="1" si="6"/>
        <v>5689.119820203774</v>
      </c>
      <c r="AE45" s="1"/>
      <c r="AF45" s="1"/>
      <c r="AG45" s="1"/>
      <c r="AH45" s="1"/>
      <c r="AI45" s="1"/>
      <c r="AJ45">
        <v>45</v>
      </c>
      <c r="AK45">
        <f t="shared" si="0"/>
        <v>45</v>
      </c>
      <c r="AL45">
        <f ca="1">SUMIF('Consolidated tables'!B:B,'Sugden End example'!$T$10,INDIRECT("'Consolidated tables'!"&amp;VLOOKUP(AJ45,AO:AP,2,FALSE)&amp;":"&amp;VLOOKUP(AJ45,AO:AP,2,FALSE)))</f>
        <v>2.0362992286682119E-2</v>
      </c>
      <c r="AM45" s="1">
        <f ca="1">SUMIF('Consolidated tables'!B:B,'Sugden End example'!$T$14,INDIRECT("'Consolidated tables'!"&amp;VLOOKUP(AJ45,AO:AP,2,FALSE)&amp;":"&amp;VLOOKUP(AJ45,AO:AP,2,FALSE)))</f>
        <v>1.5964993212604515</v>
      </c>
      <c r="AN45" s="1">
        <f ca="1">SUMIF('Consolidated tables'!B:B,'Sugden End example'!$T$15,INDIRECT("'Consolidated tables'!"&amp;VLOOKUP(AJ45,AO:AP,2,FALSE)&amp;":"&amp;VLOOKUP(AJ45,AO:AP,2,FALSE)))</f>
        <v>0</v>
      </c>
      <c r="AO45">
        <v>39</v>
      </c>
      <c r="AP45" t="s">
        <v>50</v>
      </c>
      <c r="AQ45" s="1"/>
    </row>
    <row r="46" spans="1:43" ht="24.95" customHeight="1" thickBot="1">
      <c r="A46" s="36"/>
      <c r="B46" s="37"/>
      <c r="C46" s="36"/>
      <c r="D46" s="74"/>
      <c r="E46" s="36"/>
      <c r="H46" s="2"/>
      <c r="I46" s="2"/>
      <c r="J46" s="2"/>
      <c r="K46" s="2"/>
      <c r="L46" s="2"/>
      <c r="M46" s="2"/>
      <c r="N46" s="2"/>
      <c r="O46" s="2"/>
      <c r="P46" s="2"/>
      <c r="V46" s="1">
        <f t="shared" si="7"/>
        <v>2026</v>
      </c>
      <c r="W46" s="1">
        <f t="shared" ca="1" si="2"/>
        <v>66.955809593200797</v>
      </c>
      <c r="X46" s="1">
        <f t="shared" ca="1" si="3"/>
        <v>89.051226758957071</v>
      </c>
      <c r="Y46" s="1">
        <f t="shared" ca="1" si="4"/>
        <v>44.860392427444538</v>
      </c>
      <c r="Z46" s="1">
        <f t="shared" ca="1" si="5"/>
        <v>0</v>
      </c>
      <c r="AA46" t="b">
        <f t="shared" ca="1" si="8"/>
        <v>1</v>
      </c>
      <c r="AC46" s="1">
        <f t="shared" ca="1" si="1"/>
        <v>5249.4693837261284</v>
      </c>
      <c r="AD46" s="1">
        <f t="shared" ca="1" si="6"/>
        <v>5249.4693837261284</v>
      </c>
      <c r="AE46" s="1"/>
      <c r="AF46" s="1"/>
      <c r="AG46" s="1"/>
      <c r="AH46" s="1"/>
      <c r="AI46" s="1"/>
      <c r="AJ46">
        <v>46</v>
      </c>
      <c r="AK46">
        <f t="shared" si="0"/>
        <v>50</v>
      </c>
      <c r="AL46">
        <f ca="1">SUMIF('Consolidated tables'!B:B,'Sugden End example'!$T$10,INDIRECT("'Consolidated tables'!"&amp;VLOOKUP(AJ46,AO:AP,2,FALSE)&amp;":"&amp;VLOOKUP(AJ46,AO:AP,2,FALSE)))</f>
        <v>1.8826304674148558E-2</v>
      </c>
      <c r="AM46" s="1">
        <f ca="1">SUMIF('Consolidated tables'!B:B,'Sugden End example'!$T$14,INDIRECT("'Consolidated tables'!"&amp;VLOOKUP(AJ46,AO:AP,2,FALSE)&amp;":"&amp;VLOOKUP(AJ46,AO:AP,2,FALSE)))</f>
        <v>1.4760199390625952</v>
      </c>
      <c r="AN46" s="1">
        <f ca="1">SUMIF('Consolidated tables'!B:B,'Sugden End example'!$T$15,INDIRECT("'Consolidated tables'!"&amp;VLOOKUP(AJ46,AO:AP,2,FALSE)&amp;":"&amp;VLOOKUP(AJ46,AO:AP,2,FALSE)))</f>
        <v>0</v>
      </c>
      <c r="AO46">
        <v>40</v>
      </c>
      <c r="AP46" t="s">
        <v>51</v>
      </c>
      <c r="AQ46" s="1"/>
    </row>
    <row r="47" spans="1:43" ht="24.75" customHeight="1" thickTop="1" thickBot="1">
      <c r="A47" s="37" t="s">
        <v>104</v>
      </c>
      <c r="B47" s="75" t="s">
        <v>91</v>
      </c>
      <c r="C47" s="76">
        <f>D6+49</f>
        <v>2046</v>
      </c>
      <c r="D47" s="77">
        <f ca="1">SUM(AD17:AD66)</f>
        <v>152749.81799686429</v>
      </c>
      <c r="E47" s="36" t="s">
        <v>103</v>
      </c>
      <c r="V47" s="1">
        <f t="shared" si="7"/>
        <v>2027</v>
      </c>
      <c r="W47" s="1">
        <f t="shared" ca="1" si="2"/>
        <v>61.7911052703856</v>
      </c>
      <c r="X47" s="1">
        <f t="shared" ca="1" si="3"/>
        <v>82.182170009612847</v>
      </c>
      <c r="Y47" s="1">
        <f t="shared" ca="1" si="4"/>
        <v>41.400040531158353</v>
      </c>
      <c r="Z47" s="1">
        <f t="shared" ca="1" si="5"/>
        <v>0</v>
      </c>
      <c r="AA47" t="b">
        <f t="shared" ca="1" si="8"/>
        <v>1</v>
      </c>
      <c r="AC47" s="1">
        <f t="shared" ca="1" si="1"/>
        <v>4844.5462354087722</v>
      </c>
      <c r="AD47" s="1">
        <f t="shared" ca="1" si="6"/>
        <v>4844.5462354087722</v>
      </c>
      <c r="AE47" s="1"/>
      <c r="AF47" s="1"/>
      <c r="AG47" s="1"/>
      <c r="AH47" s="1"/>
      <c r="AI47" s="1"/>
      <c r="AJ47">
        <v>47</v>
      </c>
      <c r="AK47">
        <f t="shared" si="0"/>
        <v>50</v>
      </c>
      <c r="AL47">
        <f ca="1">SUMIF('Consolidated tables'!B:B,'Sugden End example'!$T$10,INDIRECT("'Consolidated tables'!"&amp;VLOOKUP(AJ47,AO:AP,2,FALSE)&amp;":"&amp;VLOOKUP(AJ47,AO:AP,2,FALSE)))</f>
        <v>1.7407164573669441E-2</v>
      </c>
      <c r="AM47" s="1">
        <f ca="1">SUMIF('Consolidated tables'!B:B,'Sugden End example'!$T$14,INDIRECT("'Consolidated tables'!"&amp;VLOOKUP(AJ47,AO:AP,2,FALSE)&amp;":"&amp;VLOOKUP(AJ47,AO:AP,2,FALSE)))</f>
        <v>1.3647565169048315</v>
      </c>
      <c r="AN47" s="1">
        <f ca="1">SUMIF('Consolidated tables'!B:B,'Sugden End example'!$T$15,INDIRECT("'Consolidated tables'!"&amp;VLOOKUP(AJ47,AO:AP,2,FALSE)&amp;":"&amp;VLOOKUP(AJ47,AO:AP,2,FALSE)))</f>
        <v>0</v>
      </c>
      <c r="AO47">
        <v>41</v>
      </c>
      <c r="AP47" t="s">
        <v>52</v>
      </c>
      <c r="AQ47" s="1"/>
    </row>
    <row r="48" spans="1:43">
      <c r="V48" s="1">
        <f t="shared" si="7"/>
        <v>2028</v>
      </c>
      <c r="W48" s="1">
        <f t="shared" ca="1" si="2"/>
        <v>57.033352851867591</v>
      </c>
      <c r="X48" s="1">
        <f t="shared" ca="1" si="3"/>
        <v>75.854359292983901</v>
      </c>
      <c r="Y48" s="1">
        <f t="shared" ca="1" si="4"/>
        <v>38.212346410751287</v>
      </c>
      <c r="Z48" s="1">
        <f t="shared" ca="1" si="5"/>
        <v>0</v>
      </c>
      <c r="AA48" t="b">
        <f t="shared" ca="1" si="8"/>
        <v>1</v>
      </c>
      <c r="AC48" s="1">
        <f t="shared" ca="1" si="1"/>
        <v>4471.5289302921228</v>
      </c>
      <c r="AD48" s="1">
        <f t="shared" ca="1" si="6"/>
        <v>4471.5289302921228</v>
      </c>
      <c r="AE48" s="1"/>
      <c r="AF48" s="1"/>
      <c r="AG48" s="1"/>
      <c r="AH48" s="1"/>
      <c r="AI48" s="1"/>
      <c r="AJ48">
        <v>48</v>
      </c>
      <c r="AK48">
        <f t="shared" si="0"/>
        <v>50</v>
      </c>
      <c r="AL48">
        <f ca="1">SUMIF('Consolidated tables'!B:B,'Sugden End example'!$T$10,INDIRECT("'Consolidated tables'!"&amp;VLOOKUP(AJ48,AO:AP,2,FALSE)&amp;":"&amp;VLOOKUP(AJ48,AO:AP,2,FALSE)))</f>
        <v>1.6096411943435682E-2</v>
      </c>
      <c r="AM48" s="1">
        <f ca="1">SUMIF('Consolidated tables'!B:B,'Sugden End example'!$T$14,INDIRECT("'Consolidated tables'!"&amp;VLOOKUP(AJ48,AO:AP,2,FALSE)&amp;":"&amp;VLOOKUP(AJ48,AO:AP,2,FALSE)))</f>
        <v>1.2619908891892442</v>
      </c>
      <c r="AN48" s="1">
        <f ca="1">SUMIF('Consolidated tables'!B:B,'Sugden End example'!$T$15,INDIRECT("'Consolidated tables'!"&amp;VLOOKUP(AJ48,AO:AP,2,FALSE)&amp;":"&amp;VLOOKUP(AJ48,AO:AP,2,FALSE)))</f>
        <v>0</v>
      </c>
      <c r="AO48">
        <v>42</v>
      </c>
      <c r="AP48" t="s">
        <v>53</v>
      </c>
      <c r="AQ48" s="1"/>
    </row>
    <row r="49" spans="4:43">
      <c r="V49" s="1">
        <f t="shared" si="7"/>
        <v>2029</v>
      </c>
      <c r="W49" s="1">
        <f t="shared" ca="1" si="2"/>
        <v>52.649598121643201</v>
      </c>
      <c r="X49" s="1">
        <f t="shared" ca="1" si="3"/>
        <v>70.023965501785455</v>
      </c>
      <c r="Y49" s="1">
        <f t="shared" ca="1" si="4"/>
        <v>35.275230741500948</v>
      </c>
      <c r="Z49" s="1">
        <f t="shared" ca="1" si="5"/>
        <v>0</v>
      </c>
      <c r="AA49" t="b">
        <f t="shared" ca="1" si="8"/>
        <v>1</v>
      </c>
      <c r="AC49" s="1">
        <f t="shared" ca="1" si="1"/>
        <v>4127.8337919330706</v>
      </c>
      <c r="AD49" s="1">
        <f t="shared" ca="1" si="6"/>
        <v>4127.8337919330706</v>
      </c>
      <c r="AE49" s="1"/>
      <c r="AF49" s="1"/>
      <c r="AG49" s="1"/>
      <c r="AH49" s="1"/>
      <c r="AI49" s="1"/>
      <c r="AJ49">
        <v>49</v>
      </c>
      <c r="AK49">
        <f t="shared" si="0"/>
        <v>50</v>
      </c>
      <c r="AL49">
        <f ca="1">SUMIF('Consolidated tables'!B:B,'Sugden End example'!$T$10,INDIRECT("'Consolidated tables'!"&amp;VLOOKUP(AJ49,AO:AP,2,FALSE)&amp;":"&amp;VLOOKUP(AJ49,AO:AP,2,FALSE)))</f>
        <v>1.488561868667604E-2</v>
      </c>
      <c r="AM49" s="1">
        <f ca="1">SUMIF('Consolidated tables'!B:B,'Sugden End example'!$T$14,INDIRECT("'Consolidated tables'!"&amp;VLOOKUP(AJ49,AO:AP,2,FALSE)&amp;":"&amp;VLOOKUP(AJ49,AO:AP,2,FALSE)))</f>
        <v>1.1670622762727749</v>
      </c>
      <c r="AN49" s="1">
        <f ca="1">SUMIF('Consolidated tables'!B:B,'Sugden End example'!$T$15,INDIRECT("'Consolidated tables'!"&amp;VLOOKUP(AJ49,AO:AP,2,FALSE)&amp;":"&amp;VLOOKUP(AJ49,AO:AP,2,FALSE)))</f>
        <v>0</v>
      </c>
      <c r="AO49">
        <v>43</v>
      </c>
      <c r="AP49" t="s">
        <v>54</v>
      </c>
      <c r="AQ49" s="1"/>
    </row>
    <row r="50" spans="4:43">
      <c r="V50" s="1">
        <f t="shared" si="7"/>
        <v>2030</v>
      </c>
      <c r="W50" s="1">
        <f t="shared" ca="1" si="2"/>
        <v>48.609652519226003</v>
      </c>
      <c r="X50" s="1">
        <f t="shared" ca="1" si="3"/>
        <v>64.650837850570582</v>
      </c>
      <c r="Y50" s="1">
        <f t="shared" ca="1" si="4"/>
        <v>32.568467187881424</v>
      </c>
      <c r="Z50" s="1">
        <f t="shared" ca="1" si="5"/>
        <v>0</v>
      </c>
      <c r="AA50" t="b">
        <f t="shared" ca="1" si="8"/>
        <v>1</v>
      </c>
      <c r="AC50" s="1">
        <f t="shared" ca="1" si="1"/>
        <v>3811.0939768123567</v>
      </c>
      <c r="AD50" s="1">
        <f t="shared" ca="1" si="6"/>
        <v>3811.0939768123567</v>
      </c>
      <c r="AE50" s="1"/>
      <c r="AF50" s="1"/>
      <c r="AG50" s="1"/>
      <c r="AH50" s="1"/>
      <c r="AI50" s="1"/>
      <c r="AJ50">
        <v>50</v>
      </c>
      <c r="AK50">
        <f t="shared" si="0"/>
        <v>50</v>
      </c>
      <c r="AL50">
        <f ca="1">SUMIF('Consolidated tables'!B:B,'Sugden End example'!$T$10,INDIRECT("'Consolidated tables'!"&amp;VLOOKUP(AJ50,AO:AP,2,FALSE)&amp;":"&amp;VLOOKUP(AJ50,AO:AP,2,FALSE)))</f>
        <v>1.376702785491944E-2</v>
      </c>
      <c r="AM50" s="1">
        <f ca="1">SUMIF('Consolidated tables'!B:B,'Sugden End example'!$T$14,INDIRECT("'Consolidated tables'!"&amp;VLOOKUP(AJ50,AO:AP,2,FALSE)&amp;":"&amp;VLOOKUP(AJ50,AO:AP,2,FALSE)))</f>
        <v>1.0793625178813939</v>
      </c>
      <c r="AN50" s="1">
        <f ca="1">SUMIF('Consolidated tables'!B:B,'Sugden End example'!$T$15,INDIRECT("'Consolidated tables'!"&amp;VLOOKUP(AJ50,AO:AP,2,FALSE)&amp;":"&amp;VLOOKUP(AJ50,AO:AP,2,FALSE)))</f>
        <v>0</v>
      </c>
      <c r="AO50">
        <v>44</v>
      </c>
      <c r="AP50" t="s">
        <v>55</v>
      </c>
      <c r="AQ50" s="1"/>
    </row>
    <row r="51" spans="4:43">
      <c r="V51" s="1">
        <f t="shared" si="7"/>
        <v>2031</v>
      </c>
      <c r="W51" s="1">
        <f t="shared" ca="1" si="2"/>
        <v>44.88582611084</v>
      </c>
      <c r="X51" s="1">
        <f t="shared" ca="1" si="3"/>
        <v>59.698148727417205</v>
      </c>
      <c r="Y51" s="1">
        <f t="shared" ca="1" si="4"/>
        <v>30.073503494262802</v>
      </c>
      <c r="Z51" s="1">
        <f t="shared" ca="1" si="5"/>
        <v>0</v>
      </c>
      <c r="AA51" t="b">
        <f t="shared" ca="1" si="8"/>
        <v>1</v>
      </c>
      <c r="AC51" s="1">
        <f t="shared" ca="1" si="1"/>
        <v>3519.1385387420764</v>
      </c>
      <c r="AD51" s="1">
        <f t="shared" ca="1" si="6"/>
        <v>3519.1385387420764</v>
      </c>
      <c r="AE51" s="1"/>
      <c r="AF51" s="1"/>
      <c r="AG51" s="1"/>
      <c r="AH51" s="1"/>
      <c r="AI51" s="1"/>
      <c r="AM51" s="1"/>
      <c r="AN51" s="1"/>
      <c r="AO51">
        <v>45</v>
      </c>
      <c r="AP51" t="s">
        <v>56</v>
      </c>
      <c r="AQ51" s="1"/>
    </row>
    <row r="52" spans="4:43">
      <c r="V52" s="1">
        <f t="shared" si="7"/>
        <v>2032</v>
      </c>
      <c r="W52" s="1">
        <f t="shared" ca="1" si="2"/>
        <v>41.452746391296394</v>
      </c>
      <c r="X52" s="1">
        <f t="shared" ca="1" si="3"/>
        <v>55.132152700424207</v>
      </c>
      <c r="Y52" s="1">
        <f t="shared" ca="1" si="4"/>
        <v>27.773340082168584</v>
      </c>
      <c r="Z52" s="1">
        <f t="shared" ca="1" si="5"/>
        <v>0</v>
      </c>
      <c r="AA52" t="b">
        <f t="shared" ca="1" si="8"/>
        <v>1</v>
      </c>
      <c r="AC52" s="1">
        <f t="shared" ca="1" si="1"/>
        <v>3249.9782225704193</v>
      </c>
      <c r="AD52" s="1">
        <f t="shared" ca="1" si="6"/>
        <v>3249.9782225704193</v>
      </c>
      <c r="AE52" s="1"/>
      <c r="AF52" s="1"/>
      <c r="AG52" s="1"/>
      <c r="AH52" s="1"/>
      <c r="AI52" s="1"/>
      <c r="AM52" s="1"/>
      <c r="AN52" s="1"/>
      <c r="AO52">
        <v>46</v>
      </c>
      <c r="AP52" t="s">
        <v>57</v>
      </c>
      <c r="AQ52" s="1"/>
    </row>
    <row r="53" spans="4:43">
      <c r="V53" s="1">
        <f t="shared" si="7"/>
        <v>2033</v>
      </c>
      <c r="W53" s="1">
        <f t="shared" ca="1" si="2"/>
        <v>38.2871413230896</v>
      </c>
      <c r="X53" s="1">
        <f t="shared" ca="1" si="3"/>
        <v>50.92189795970917</v>
      </c>
      <c r="Y53" s="1">
        <f t="shared" ca="1" si="4"/>
        <v>25.652384686470032</v>
      </c>
      <c r="Z53" s="1">
        <f t="shared" ca="1" si="5"/>
        <v>0</v>
      </c>
      <c r="AA53" t="b">
        <f t="shared" ca="1" si="8"/>
        <v>1</v>
      </c>
      <c r="AC53" s="1">
        <f t="shared" ca="1" si="1"/>
        <v>3001.7884540128707</v>
      </c>
      <c r="AD53" s="1">
        <f t="shared" ca="1" si="6"/>
        <v>3001.7884540128707</v>
      </c>
      <c r="AE53" s="1"/>
      <c r="AF53" s="1"/>
      <c r="AG53" s="1"/>
      <c r="AH53" s="1"/>
      <c r="AI53" s="1"/>
      <c r="AM53" s="1"/>
      <c r="AN53" s="1"/>
      <c r="AO53">
        <v>47</v>
      </c>
      <c r="AP53" t="s">
        <v>63</v>
      </c>
    </row>
    <row r="54" spans="4:43">
      <c r="D54" s="53"/>
      <c r="V54" s="1">
        <f t="shared" si="7"/>
        <v>2034</v>
      </c>
      <c r="W54" s="1">
        <f t="shared" ca="1" si="2"/>
        <v>35.367655754089355</v>
      </c>
      <c r="X54" s="1">
        <f t="shared" ca="1" si="3"/>
        <v>47.038982152938843</v>
      </c>
      <c r="Y54" s="1">
        <f t="shared" ca="1" si="4"/>
        <v>23.696329355239868</v>
      </c>
      <c r="Z54" s="1">
        <f t="shared" ca="1" si="5"/>
        <v>0</v>
      </c>
      <c r="AA54" t="b">
        <f t="shared" ca="1" si="8"/>
        <v>1</v>
      </c>
      <c r="AC54" s="1">
        <f t="shared" ca="1" si="1"/>
        <v>2772.8949464321136</v>
      </c>
      <c r="AD54" s="1">
        <f t="shared" ca="1" si="6"/>
        <v>2772.8949464321136</v>
      </c>
      <c r="AE54" s="1"/>
      <c r="AF54" s="1"/>
      <c r="AG54" s="1"/>
      <c r="AH54" s="1"/>
      <c r="AI54" s="1"/>
      <c r="AM54" s="1"/>
      <c r="AN54" s="1"/>
      <c r="AO54">
        <v>48</v>
      </c>
      <c r="AP54" t="s">
        <v>64</v>
      </c>
    </row>
    <row r="55" spans="4:43">
      <c r="V55" s="1">
        <f t="shared" si="7"/>
        <v>2035</v>
      </c>
      <c r="W55" s="1">
        <f t="shared" ca="1" si="2"/>
        <v>32.674698829650879</v>
      </c>
      <c r="X55" s="1">
        <f t="shared" ca="1" si="3"/>
        <v>43.457349443435675</v>
      </c>
      <c r="Y55" s="1">
        <f t="shared" ca="1" si="4"/>
        <v>21.89204821586609</v>
      </c>
      <c r="Z55" s="1">
        <f t="shared" ca="1" si="5"/>
        <v>0</v>
      </c>
      <c r="AA55" t="b">
        <f t="shared" ca="1" si="8"/>
        <v>1</v>
      </c>
      <c r="AC55" s="1">
        <f t="shared" ca="1" si="1"/>
        <v>2561.7617376422882</v>
      </c>
      <c r="AD55" s="1">
        <f t="shared" ca="1" si="6"/>
        <v>2561.7617376422882</v>
      </c>
      <c r="AE55" s="1"/>
      <c r="AF55" s="1"/>
      <c r="AG55" s="1"/>
      <c r="AH55" s="1"/>
      <c r="AI55" s="1"/>
      <c r="AM55" s="1"/>
      <c r="AN55" s="1"/>
      <c r="AO55">
        <v>49</v>
      </c>
      <c r="AP55" t="s">
        <v>65</v>
      </c>
    </row>
    <row r="56" spans="4:43">
      <c r="V56" s="1">
        <f t="shared" si="7"/>
        <v>2036</v>
      </c>
      <c r="W56" s="1">
        <f t="shared" ca="1" si="2"/>
        <v>30.190279483795159</v>
      </c>
      <c r="X56" s="1">
        <f t="shared" ca="1" si="3"/>
        <v>40.153071713447567</v>
      </c>
      <c r="Y56" s="1">
        <f t="shared" ca="1" si="4"/>
        <v>20.227487254142758</v>
      </c>
      <c r="Z56" s="1">
        <f t="shared" ca="1" si="5"/>
        <v>0</v>
      </c>
      <c r="AA56" t="b">
        <f t="shared" ca="1" si="8"/>
        <v>1</v>
      </c>
      <c r="AC56" s="1">
        <f t="shared" ca="1" si="1"/>
        <v>2366.9782920885082</v>
      </c>
      <c r="AD56" s="1">
        <f t="shared" ca="1" si="6"/>
        <v>2366.9782920885082</v>
      </c>
      <c r="AE56" s="1"/>
      <c r="AF56" s="1"/>
      <c r="AG56" s="1"/>
      <c r="AH56" s="1"/>
      <c r="AI56" s="1"/>
      <c r="AM56" s="1"/>
      <c r="AN56" s="1"/>
      <c r="AO56">
        <v>50</v>
      </c>
      <c r="AP56" t="s">
        <v>66</v>
      </c>
    </row>
    <row r="57" spans="4:43">
      <c r="V57" s="1">
        <f t="shared" si="7"/>
        <v>2037</v>
      </c>
      <c r="W57" s="1">
        <f t="shared" ca="1" si="2"/>
        <v>27.897884845733635</v>
      </c>
      <c r="X57" s="1">
        <f t="shared" ca="1" si="3"/>
        <v>37.10418684482574</v>
      </c>
      <c r="Y57" s="1">
        <f t="shared" ca="1" si="4"/>
        <v>18.691582846641538</v>
      </c>
      <c r="Z57" s="1">
        <f t="shared" ca="1" si="5"/>
        <v>0</v>
      </c>
      <c r="AA57" t="b">
        <f t="shared" ca="1" si="8"/>
        <v>1</v>
      </c>
      <c r="AC57" s="1">
        <f t="shared" ca="1" si="1"/>
        <v>2187.2499676752086</v>
      </c>
      <c r="AD57" s="1">
        <f t="shared" ca="1" si="6"/>
        <v>2187.2499676752086</v>
      </c>
      <c r="AE57" s="1"/>
      <c r="AF57" s="1"/>
      <c r="AG57" s="1"/>
      <c r="AH57" s="1"/>
      <c r="AI57" s="1"/>
    </row>
    <row r="58" spans="4:43">
      <c r="V58" s="1">
        <f t="shared" si="7"/>
        <v>2038</v>
      </c>
      <c r="W58" s="1">
        <f t="shared" ca="1" si="2"/>
        <v>25.782341957092282</v>
      </c>
      <c r="X58" s="1">
        <f t="shared" ca="1" si="3"/>
        <v>34.290514802932734</v>
      </c>
      <c r="Y58" s="1">
        <f t="shared" ca="1" si="4"/>
        <v>17.27416911125183</v>
      </c>
      <c r="Z58" s="1">
        <f t="shared" ca="1" si="5"/>
        <v>0</v>
      </c>
      <c r="AA58" t="b">
        <f t="shared" ca="1" si="8"/>
        <v>1</v>
      </c>
      <c r="AC58" s="1">
        <f t="shared" ca="1" si="1"/>
        <v>2021.3871741199493</v>
      </c>
      <c r="AD58" s="1">
        <f t="shared" ca="1" si="6"/>
        <v>2021.3871741199493</v>
      </c>
      <c r="AE58" s="1"/>
      <c r="AF58" s="1"/>
      <c r="AG58" s="1"/>
      <c r="AH58" s="1"/>
      <c r="AI58" s="1"/>
    </row>
    <row r="59" spans="4:43">
      <c r="V59" s="1">
        <f t="shared" si="7"/>
        <v>2039</v>
      </c>
      <c r="W59" s="1">
        <f t="shared" ca="1" si="2"/>
        <v>23.82971048355104</v>
      </c>
      <c r="X59" s="1">
        <f t="shared" ca="1" si="3"/>
        <v>31.693514943122885</v>
      </c>
      <c r="Y59" s="1">
        <f t="shared" ca="1" si="4"/>
        <v>15.965906023979198</v>
      </c>
      <c r="Z59" s="1">
        <f t="shared" ca="1" si="5"/>
        <v>0</v>
      </c>
      <c r="AA59" t="b">
        <f t="shared" ca="1" si="8"/>
        <v>1</v>
      </c>
      <c r="AC59" s="1">
        <f t="shared" ca="1" si="1"/>
        <v>1868.2969613313685</v>
      </c>
      <c r="AD59" s="1">
        <f t="shared" ca="1" si="6"/>
        <v>1868.2969613313685</v>
      </c>
      <c r="AE59" s="1"/>
      <c r="AF59" s="1"/>
      <c r="AG59" s="1"/>
      <c r="AH59" s="1"/>
      <c r="AI59" s="1"/>
    </row>
    <row r="60" spans="4:43">
      <c r="V60" s="1">
        <f t="shared" si="7"/>
        <v>2040</v>
      </c>
      <c r="W60" s="1">
        <f t="shared" ca="1" si="2"/>
        <v>22.027187347412116</v>
      </c>
      <c r="X60" s="1">
        <f t="shared" ca="1" si="3"/>
        <v>29.296159172058118</v>
      </c>
      <c r="Y60" s="1">
        <f t="shared" ca="1" si="4"/>
        <v>14.758215522766118</v>
      </c>
      <c r="Z60" s="1">
        <f t="shared" ca="1" si="5"/>
        <v>0</v>
      </c>
      <c r="AA60" t="b">
        <f t="shared" ca="1" si="8"/>
        <v>1</v>
      </c>
      <c r="AC60" s="1">
        <f t="shared" ca="1" si="1"/>
        <v>1726.9755424118048</v>
      </c>
      <c r="AD60" s="1">
        <f t="shared" ca="1" si="6"/>
        <v>1726.9755424118048</v>
      </c>
      <c r="AE60" s="1"/>
      <c r="AF60" s="1"/>
      <c r="AG60" s="1"/>
      <c r="AH60" s="1"/>
      <c r="AI60" s="1"/>
    </row>
    <row r="61" spans="4:43">
      <c r="V61" s="1">
        <f t="shared" si="7"/>
        <v>2041</v>
      </c>
      <c r="W61" s="1">
        <f t="shared" ca="1" si="2"/>
        <v>20.362992286682118</v>
      </c>
      <c r="X61" s="1">
        <f t="shared" ca="1" si="3"/>
        <v>27.082779741287219</v>
      </c>
      <c r="Y61" s="1">
        <f t="shared" ca="1" si="4"/>
        <v>13.64320483207702</v>
      </c>
      <c r="Z61" s="1">
        <f t="shared" ca="1" si="5"/>
        <v>0</v>
      </c>
      <c r="AA61" t="b">
        <f t="shared" ca="1" si="8"/>
        <v>1</v>
      </c>
      <c r="AC61" s="1">
        <f t="shared" ca="1" si="1"/>
        <v>1596.4993212604516</v>
      </c>
      <c r="AD61" s="1">
        <f t="shared" ca="1" si="6"/>
        <v>1596.4993212604516</v>
      </c>
      <c r="AE61" s="1"/>
      <c r="AF61" s="1"/>
      <c r="AG61" s="1"/>
      <c r="AH61" s="1"/>
      <c r="AI61" s="1"/>
    </row>
    <row r="62" spans="4:43">
      <c r="V62" s="1">
        <f t="shared" si="7"/>
        <v>2042</v>
      </c>
      <c r="W62" s="1">
        <f t="shared" ca="1" si="2"/>
        <v>18.82630467414856</v>
      </c>
      <c r="X62" s="1">
        <f t="shared" ca="1" si="3"/>
        <v>25.038985216617586</v>
      </c>
      <c r="Y62" s="1">
        <f t="shared" ca="1" si="4"/>
        <v>12.613624131679536</v>
      </c>
      <c r="Z62" s="1">
        <f t="shared" ca="1" si="5"/>
        <v>0</v>
      </c>
      <c r="AA62" t="b">
        <f t="shared" ca="1" si="8"/>
        <v>1</v>
      </c>
      <c r="AC62" s="1">
        <f t="shared" ca="1" si="1"/>
        <v>1476.0199390625953</v>
      </c>
      <c r="AD62" s="1">
        <f t="shared" ca="1" si="6"/>
        <v>1476.0199390625953</v>
      </c>
      <c r="AE62" s="1"/>
      <c r="AF62" s="1"/>
      <c r="AG62" s="1"/>
      <c r="AH62" s="1"/>
      <c r="AI62" s="1"/>
    </row>
    <row r="63" spans="4:43">
      <c r="V63" s="1">
        <f t="shared" si="7"/>
        <v>2043</v>
      </c>
      <c r="W63" s="1">
        <f t="shared" ca="1" si="2"/>
        <v>17.407164573669441</v>
      </c>
      <c r="X63" s="1">
        <f t="shared" ca="1" si="3"/>
        <v>23.151528882980358</v>
      </c>
      <c r="Y63" s="1">
        <f t="shared" ca="1" si="4"/>
        <v>11.662800264358525</v>
      </c>
      <c r="Z63" s="1">
        <f t="shared" ca="1" si="5"/>
        <v>0</v>
      </c>
      <c r="AA63" t="b">
        <f t="shared" ca="1" si="8"/>
        <v>1</v>
      </c>
      <c r="AC63" s="1">
        <f t="shared" ca="1" si="1"/>
        <v>1364.7565169048314</v>
      </c>
      <c r="AD63" s="1">
        <f t="shared" ca="1" si="6"/>
        <v>1364.7565169048314</v>
      </c>
      <c r="AE63" s="1"/>
      <c r="AF63" s="1"/>
      <c r="AG63" s="1"/>
      <c r="AH63" s="1"/>
      <c r="AI63" s="1"/>
    </row>
    <row r="64" spans="4:43">
      <c r="V64" s="1">
        <f t="shared" si="7"/>
        <v>2044</v>
      </c>
      <c r="W64" s="1">
        <f t="shared" ca="1" si="2"/>
        <v>16.096411943435683</v>
      </c>
      <c r="X64" s="1">
        <f t="shared" ca="1" si="3"/>
        <v>21.40822788476946</v>
      </c>
      <c r="Y64" s="1">
        <f t="shared" ca="1" si="4"/>
        <v>10.784596002101908</v>
      </c>
      <c r="Z64" s="1">
        <f t="shared" ca="1" si="5"/>
        <v>0</v>
      </c>
      <c r="AA64" t="b">
        <f t="shared" ca="1" si="8"/>
        <v>1</v>
      </c>
      <c r="AC64" s="1">
        <f t="shared" ca="1" si="1"/>
        <v>1261.9908891892442</v>
      </c>
      <c r="AD64" s="1">
        <f t="shared" ca="1" si="6"/>
        <v>1261.9908891892442</v>
      </c>
      <c r="AE64" s="1"/>
      <c r="AF64" s="1"/>
      <c r="AG64" s="1"/>
      <c r="AH64" s="1"/>
      <c r="AI64" s="1"/>
      <c r="AM64" s="1"/>
      <c r="AN64" s="1"/>
    </row>
    <row r="65" spans="22:40">
      <c r="V65" s="1">
        <f t="shared" si="7"/>
        <v>2045</v>
      </c>
      <c r="W65" s="1">
        <f t="shared" ca="1" si="2"/>
        <v>14.88561868667604</v>
      </c>
      <c r="X65" s="1">
        <f t="shared" ca="1" si="3"/>
        <v>19.797872853279134</v>
      </c>
      <c r="Y65" s="1">
        <f t="shared" ca="1" si="4"/>
        <v>9.9733645200729466</v>
      </c>
      <c r="Z65" s="1">
        <f t="shared" ca="1" si="5"/>
        <v>0</v>
      </c>
      <c r="AA65" t="b">
        <f t="shared" ca="1" si="8"/>
        <v>1</v>
      </c>
      <c r="AC65" s="1">
        <f t="shared" ca="1" si="1"/>
        <v>1167.0622762727749</v>
      </c>
      <c r="AD65" s="1">
        <f t="shared" ca="1" si="6"/>
        <v>1167.0622762727749</v>
      </c>
      <c r="AE65" s="1"/>
      <c r="AF65" s="1"/>
      <c r="AG65" s="1"/>
      <c r="AH65" s="1"/>
      <c r="AI65" s="1"/>
      <c r="AM65" s="1"/>
      <c r="AN65" s="1"/>
    </row>
    <row r="66" spans="22:40">
      <c r="V66" s="1">
        <f t="shared" si="7"/>
        <v>2046</v>
      </c>
      <c r="W66" s="1">
        <f t="shared" ca="1" si="2"/>
        <v>13.767027854919441</v>
      </c>
      <c r="X66" s="1">
        <f t="shared" ca="1" si="3"/>
        <v>18.310147047042857</v>
      </c>
      <c r="Y66" s="1">
        <f t="shared" ca="1" si="4"/>
        <v>9.2239086627960258</v>
      </c>
      <c r="Z66" s="1">
        <f t="shared" ca="1" si="5"/>
        <v>0</v>
      </c>
      <c r="AA66" t="b">
        <f t="shared" ca="1" si="8"/>
        <v>1</v>
      </c>
      <c r="AC66" s="1">
        <f t="shared" ca="1" si="1"/>
        <v>1079.3625178813938</v>
      </c>
      <c r="AD66" s="1">
        <f t="shared" ca="1" si="6"/>
        <v>1079.3625178813938</v>
      </c>
      <c r="AE66" s="1"/>
      <c r="AF66" s="1"/>
      <c r="AG66" s="1"/>
      <c r="AH66" s="1"/>
      <c r="AI66" s="1"/>
      <c r="AM66" s="1"/>
      <c r="AN66" s="1"/>
    </row>
    <row r="69" spans="22:40">
      <c r="V69" s="1"/>
      <c r="W69" s="1"/>
      <c r="X69" s="1"/>
      <c r="Y69" s="1"/>
      <c r="Z69" s="1"/>
      <c r="AC69" s="1"/>
      <c r="AD69" s="1"/>
      <c r="AE69" s="1"/>
      <c r="AF69" s="1"/>
      <c r="AG69" s="1"/>
      <c r="AH69" s="1"/>
      <c r="AI69" s="1"/>
      <c r="AM69" s="1"/>
      <c r="AN69" s="1"/>
    </row>
    <row r="70" spans="22:40">
      <c r="V70" s="1"/>
      <c r="W70" s="1"/>
      <c r="X70" s="1"/>
      <c r="Y70" s="1"/>
      <c r="Z70" s="1"/>
      <c r="AC70" s="1"/>
      <c r="AD70" s="1"/>
      <c r="AE70" s="1"/>
      <c r="AF70" s="1"/>
      <c r="AG70" s="1"/>
      <c r="AH70" s="1"/>
      <c r="AI70" s="1"/>
      <c r="AM70" s="1"/>
      <c r="AN70" s="1"/>
    </row>
    <row r="71" spans="22:40">
      <c r="V71" s="1"/>
      <c r="W71" s="1"/>
      <c r="X71" s="1"/>
      <c r="Y71" s="1"/>
      <c r="Z71" s="1"/>
      <c r="AC71" s="1"/>
      <c r="AD71" s="1"/>
      <c r="AE71" s="1"/>
      <c r="AF71" s="1"/>
      <c r="AG71" s="1"/>
      <c r="AH71" s="1"/>
      <c r="AI71" s="1"/>
      <c r="AM71" s="1"/>
      <c r="AN71" s="1"/>
    </row>
    <row r="72" spans="22:40">
      <c r="V72" s="1"/>
      <c r="W72" s="1"/>
      <c r="X72" s="1"/>
      <c r="Y72" s="1"/>
      <c r="Z72" s="1"/>
      <c r="AC72" s="1"/>
      <c r="AD72" s="1"/>
      <c r="AE72" s="1"/>
      <c r="AF72" s="1"/>
      <c r="AG72" s="1"/>
      <c r="AH72" s="1"/>
      <c r="AI72" s="1"/>
      <c r="AM72" s="1"/>
      <c r="AN72" s="1"/>
    </row>
    <row r="73" spans="22:40">
      <c r="V73" s="1"/>
      <c r="W73" s="1"/>
      <c r="X73" s="1"/>
      <c r="Y73" s="1"/>
      <c r="Z73" s="1"/>
      <c r="AC73" s="1"/>
      <c r="AD73" s="1"/>
      <c r="AE73" s="1"/>
      <c r="AF73" s="1"/>
      <c r="AG73" s="1"/>
      <c r="AH73" s="1"/>
      <c r="AI73" s="1"/>
      <c r="AM73" s="1"/>
      <c r="AN73" s="1"/>
    </row>
    <row r="74" spans="22:40">
      <c r="V74" s="1"/>
      <c r="W74" s="1"/>
      <c r="X74" s="1"/>
      <c r="Y74" s="1"/>
      <c r="Z74" s="1"/>
      <c r="AC74" s="1"/>
      <c r="AD74" s="1"/>
      <c r="AE74" s="1"/>
      <c r="AF74" s="1"/>
      <c r="AG74" s="1"/>
      <c r="AH74" s="1"/>
      <c r="AI74" s="1"/>
      <c r="AM74" s="1"/>
      <c r="AN74" s="1"/>
    </row>
    <row r="75" spans="22:40">
      <c r="V75" s="1"/>
      <c r="W75" s="1"/>
      <c r="X75" s="1"/>
      <c r="Y75" s="1"/>
      <c r="Z75" s="1"/>
      <c r="AC75" s="1"/>
      <c r="AD75" s="1"/>
      <c r="AE75" s="1"/>
      <c r="AF75" s="1"/>
      <c r="AG75" s="1"/>
      <c r="AH75" s="1"/>
      <c r="AI75" s="1"/>
      <c r="AM75" s="1"/>
      <c r="AN75" s="1"/>
    </row>
    <row r="76" spans="22:40">
      <c r="V76" s="1"/>
      <c r="W76" s="1"/>
      <c r="X76" s="1"/>
      <c r="Y76" s="1"/>
      <c r="Z76" s="1"/>
      <c r="AC76" s="1"/>
      <c r="AD76" s="1"/>
      <c r="AE76" s="1"/>
      <c r="AF76" s="1"/>
      <c r="AG76" s="1"/>
      <c r="AH76" s="1"/>
      <c r="AI76" s="1"/>
      <c r="AM76" s="1"/>
      <c r="AN76" s="1"/>
    </row>
    <row r="77" spans="22:40">
      <c r="V77" s="1"/>
      <c r="W77" s="1"/>
      <c r="X77" s="1"/>
      <c r="Y77" s="1"/>
      <c r="Z77" s="1"/>
      <c r="AC77" s="1"/>
      <c r="AD77" s="1"/>
      <c r="AE77" s="1"/>
      <c r="AF77" s="1"/>
      <c r="AG77" s="1"/>
      <c r="AH77" s="1"/>
      <c r="AI77" s="1"/>
      <c r="AM77" s="1"/>
      <c r="AN77" s="1"/>
    </row>
    <row r="78" spans="22:40">
      <c r="AM78" s="1"/>
      <c r="AN78" s="1"/>
    </row>
    <row r="79" spans="22:40">
      <c r="AM79" s="1"/>
      <c r="AN79" s="1"/>
    </row>
    <row r="80" spans="22:40">
      <c r="AM80" s="1"/>
      <c r="AN80" s="1"/>
    </row>
    <row r="81" spans="39:40">
      <c r="AM81" s="1"/>
      <c r="AN81" s="1"/>
    </row>
    <row r="82" spans="39:40">
      <c r="AM82" s="1"/>
      <c r="AN82" s="1"/>
    </row>
    <row r="83" spans="39:40">
      <c r="AM83" s="1"/>
      <c r="AN83" s="1"/>
    </row>
    <row r="84" spans="39:40">
      <c r="AM84" s="1"/>
      <c r="AN84" s="1"/>
    </row>
    <row r="159" spans="8:6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1" spans="8:52">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3" spans="8:52">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5" spans="8:52">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7" spans="8:52">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sheetData>
  <sheetProtection password="EFE8" sheet="1" objects="1" scenarios="1"/>
  <dataValidations count="5">
    <dataValidation type="decimal" showInputMessage="1" showErrorMessage="1" errorTitle="Percentage only" error="Enter a percentage value between 0 and 100%" sqref="F41:F43">
      <formula1>0</formula1>
      <formula2>1</formula2>
    </dataValidation>
    <dataValidation type="whole" allowBlank="1" showErrorMessage="1" errorTitle="Numbers only" error="Numbers only" sqref="D8">
      <formula1>0</formula1>
      <formula2>10000000</formula2>
    </dataValidation>
    <dataValidation allowBlank="1" showInputMessage="1" showErrorMessage="1" error="Please enter a number between only" sqref="D2"/>
    <dataValidation type="whole" allowBlank="1" showErrorMessage="1" errorTitle="Numbers only" error="Please enter a number between Year of Site Opening and the Current Year." sqref="D6">
      <formula1>D4</formula1>
      <formula2>D2</formula2>
    </dataValidation>
    <dataValidation type="whole" allowBlank="1" showInputMessage="1" showErrorMessage="1" errorTitle="Numbers only" error="Please enter a number between 1900 and the Current Year." sqref="D4">
      <formula1>1900</formula1>
      <formula2>D2</formula2>
    </dataValidation>
  </dataValidations>
  <pageMargins left="0.7" right="0.7" top="0.75" bottom="0.75" header="0.3" footer="0.3"/>
  <pageSetup paperSize="9" orientation="portrait" verticalDpi="0"/>
  <drawing r:id="rId1"/>
  <legacyDrawing r:id="rId2"/>
</worksheet>
</file>

<file path=xl/worksheets/sheet5.xml><?xml version="1.0" encoding="utf-8"?>
<worksheet xmlns="http://schemas.openxmlformats.org/spreadsheetml/2006/main" xmlns:r="http://schemas.openxmlformats.org/officeDocument/2006/relationships">
  <dimension ref="A1:BP167"/>
  <sheetViews>
    <sheetView showGridLines="0" zoomScale="70" zoomScaleNormal="70" workbookViewId="0">
      <selection activeCell="A37" sqref="A37"/>
    </sheetView>
  </sheetViews>
  <sheetFormatPr defaultRowHeight="15" outlineLevelCol="1"/>
  <cols>
    <col min="1" max="1" width="105.77734375" customWidth="1"/>
    <col min="2" max="2" width="47.77734375" customWidth="1"/>
    <col min="3" max="3" width="6.44140625" customWidth="1"/>
    <col min="4" max="4" width="11" bestFit="1" customWidth="1"/>
    <col min="5" max="5" width="17.33203125" customWidth="1"/>
    <col min="6" max="6" width="11.5546875" customWidth="1"/>
    <col min="7" max="7" width="7.5546875" customWidth="1"/>
    <col min="8" max="8" width="53.77734375" customWidth="1"/>
    <col min="9" max="16" width="15.77734375" customWidth="1"/>
    <col min="17" max="19" width="6.88671875" customWidth="1"/>
    <col min="20" max="21" width="8.88671875" customWidth="1" outlineLevel="1"/>
    <col min="22" max="22" width="12.44140625" bestFit="1" customWidth="1" outlineLevel="1"/>
    <col min="23" max="23" width="35.77734375" bestFit="1" customWidth="1" outlineLevel="1"/>
    <col min="24" max="24" width="5.5546875" customWidth="1" outlineLevel="1"/>
    <col min="25" max="25" width="5.33203125" bestFit="1" customWidth="1" outlineLevel="1"/>
    <col min="26" max="26" width="11.6640625" bestFit="1" customWidth="1" outlineLevel="1"/>
    <col min="27" max="27" width="10.33203125" bestFit="1" customWidth="1" outlineLevel="1"/>
    <col min="28" max="28" width="1.77734375" customWidth="1" outlineLevel="1"/>
    <col min="29" max="29" width="37.44140625" bestFit="1" customWidth="1" outlineLevel="1"/>
    <col min="30" max="30" width="11.33203125" bestFit="1" customWidth="1" outlineLevel="1"/>
    <col min="31" max="35" width="1.77734375" customWidth="1" outlineLevel="1"/>
    <col min="36" max="41" width="8.88671875" customWidth="1" outlineLevel="1"/>
    <col min="42" max="42" width="4" customWidth="1" outlineLevel="1"/>
  </cols>
  <sheetData>
    <row r="1" spans="1:43" ht="24.95" customHeight="1" thickBot="1">
      <c r="A1" s="34" t="s">
        <v>83</v>
      </c>
      <c r="T1" t="str">
        <f ca="1">IF(T10&lt;&gt;"","Table Value","")</f>
        <v>Table Value</v>
      </c>
      <c r="AJ1">
        <v>1</v>
      </c>
      <c r="AK1">
        <v>5</v>
      </c>
      <c r="AL1">
        <f ca="1">SUMIF('Consolidated tables'!B:B,'Docking 2 example'!$T$10,INDIRECT("'Consolidated tables'!"&amp;VLOOKUP(AJ1,AO:AP,2,FALSE)&amp;":"&amp;VLOOKUP(AJ1,AO:AP,2,FALSE)))</f>
        <v>1.1868065643310559</v>
      </c>
      <c r="AM1" s="1">
        <f ca="1">SUMIF('Consolidated tables'!B:B,'Docking 2 example'!$T$14,INDIRECT("'Consolidated tables'!"&amp;VLOOKUP(AJ1,AO:AP,2,FALSE)&amp;":"&amp;VLOOKUP(AJ1,AO:AP,2,FALSE)))</f>
        <v>93.048008256683445</v>
      </c>
      <c r="AN1" s="1">
        <f ca="1">SUMIF('Consolidated tables'!B:B,'Docking 2 example'!$T$15,INDIRECT("'Consolidated tables'!"&amp;VLOOKUP(AJ1,AO:AP,2,FALSE)&amp;":"&amp;VLOOKUP(AJ1,AO:AP,2,FALSE)))</f>
        <v>0</v>
      </c>
      <c r="AP1" t="s">
        <v>58</v>
      </c>
      <c r="AQ1" s="1"/>
    </row>
    <row r="2" spans="1:43" ht="24" customHeight="1" thickBot="1">
      <c r="B2" s="71" t="s">
        <v>2</v>
      </c>
      <c r="D2" s="18">
        <f ca="1">YEAR(TODAY())</f>
        <v>2015</v>
      </c>
      <c r="E2" s="36" t="s">
        <v>8</v>
      </c>
      <c r="F2" s="18"/>
      <c r="G2" s="36" t="str">
        <f>"= Result Cell"</f>
        <v>= Result Cell</v>
      </c>
      <c r="AJ2">
        <v>2</v>
      </c>
      <c r="AK2">
        <v>5</v>
      </c>
      <c r="AL2">
        <f ca="1">SUMIF('Consolidated tables'!B:B,'Docking 2 example'!$T$10,INDIRECT("'Consolidated tables'!"&amp;VLOOKUP(AJ2,AO:AP,2,FALSE)&amp;":"&amp;VLOOKUP(AJ2,AO:AP,2,FALSE)))</f>
        <v>1.1699594879150401</v>
      </c>
      <c r="AM2" s="1">
        <f ca="1">SUMIF('Consolidated tables'!B:B,'Docking 2 example'!$T$14,INDIRECT("'Consolidated tables'!"&amp;VLOOKUP(AJ2,AO:AP,2,FALSE)&amp;":"&amp;VLOOKUP(AJ2,AO:AP,2,FALSE)))</f>
        <v>91.727163771514981</v>
      </c>
      <c r="AN2" s="1">
        <f ca="1">SUMIF('Consolidated tables'!B:B,'Docking 2 example'!$T$15,INDIRECT("'Consolidated tables'!"&amp;VLOOKUP(AJ2,AO:AP,2,FALSE)&amp;":"&amp;VLOOKUP(AJ2,AO:AP,2,FALSE)))</f>
        <v>0</v>
      </c>
      <c r="AP2" t="s">
        <v>59</v>
      </c>
      <c r="AQ2" s="1"/>
    </row>
    <row r="3" spans="1:43" ht="24" customHeight="1" thickBot="1">
      <c r="B3" s="35"/>
      <c r="D3" s="11"/>
      <c r="E3" s="36"/>
      <c r="G3" s="36"/>
      <c r="AJ3">
        <v>3</v>
      </c>
      <c r="AK3">
        <v>5</v>
      </c>
      <c r="AL3">
        <f ca="1">SUMIF('Consolidated tables'!B:B,'Docking 2 example'!$T$10,INDIRECT("'Consolidated tables'!"&amp;VLOOKUP(AJ3,AO:AP,2,FALSE)&amp;":"&amp;VLOOKUP(AJ3,AO:AP,2,FALSE)))</f>
        <v>1.0371051788330079</v>
      </c>
      <c r="AM3" s="1">
        <f ca="1">SUMIF('Consolidated tables'!B:B,'Docking 2 example'!$T$14,INDIRECT("'Consolidated tables'!"&amp;VLOOKUP(AJ3,AO:AP,2,FALSE)&amp;":"&amp;VLOOKUP(AJ3,AO:AP,2,FALSE)))</f>
        <v>81.31112023086547</v>
      </c>
      <c r="AN3" s="1">
        <f ca="1">SUMIF('Consolidated tables'!B:B,'Docking 2 example'!$T$15,INDIRECT("'Consolidated tables'!"&amp;VLOOKUP(AJ3,AO:AP,2,FALSE)&amp;":"&amp;VLOOKUP(AJ3,AO:AP,2,FALSE)))</f>
        <v>0</v>
      </c>
      <c r="AP3" t="s">
        <v>60</v>
      </c>
      <c r="AQ3" s="1"/>
    </row>
    <row r="4" spans="1:43" ht="24" customHeight="1" thickBot="1">
      <c r="A4" s="35" t="s">
        <v>94</v>
      </c>
      <c r="B4" s="71" t="s">
        <v>4</v>
      </c>
      <c r="D4" s="33">
        <v>1988</v>
      </c>
      <c r="E4" s="36" t="s">
        <v>8</v>
      </c>
      <c r="F4" s="39"/>
      <c r="G4" s="36" t="str">
        <f>"= Text Entry Cell"</f>
        <v>= Text Entry Cell</v>
      </c>
      <c r="T4" t="s">
        <v>9</v>
      </c>
      <c r="U4" t="s">
        <v>9</v>
      </c>
      <c r="AJ4">
        <v>4</v>
      </c>
      <c r="AK4">
        <v>5</v>
      </c>
      <c r="AL4">
        <f ca="1">SUMIF('Consolidated tables'!B:B,'Docking 2 example'!$T$10,INDIRECT("'Consolidated tables'!"&amp;VLOOKUP(AJ4,AO:AP,2,FALSE)&amp;":"&amp;VLOOKUP(AJ4,AO:AP,2,FALSE)))</f>
        <v>0.92894912719726408</v>
      </c>
      <c r="AM4" s="1">
        <f ca="1">SUMIF('Consolidated tables'!B:B,'Docking 2 example'!$T$14,INDIRECT("'Consolidated tables'!"&amp;VLOOKUP(AJ4,AO:AP,2,FALSE)&amp;":"&amp;VLOOKUP(AJ4,AO:AP,2,FALSE)))</f>
        <v>72.831469470519892</v>
      </c>
      <c r="AN4" s="1">
        <f ca="1">SUMIF('Consolidated tables'!B:B,'Docking 2 example'!$T$15,INDIRECT("'Consolidated tables'!"&amp;VLOOKUP(AJ4,AO:AP,2,FALSE)&amp;":"&amp;VLOOKUP(AJ4,AO:AP,2,FALSE)))</f>
        <v>0</v>
      </c>
      <c r="AP4" t="s">
        <v>61</v>
      </c>
      <c r="AQ4" s="1"/>
    </row>
    <row r="5" spans="1:43" ht="24" customHeight="1" thickBot="1">
      <c r="A5" s="36"/>
      <c r="B5" s="36"/>
      <c r="D5" s="11"/>
      <c r="E5" s="36"/>
      <c r="AJ5">
        <v>5</v>
      </c>
      <c r="AK5">
        <v>5</v>
      </c>
      <c r="AL5">
        <f ca="1">SUMIF('Consolidated tables'!B:B,'Docking 2 example'!$T$10,INDIRECT("'Consolidated tables'!"&amp;VLOOKUP(AJ5,AO:AP,2,FALSE)&amp;":"&amp;VLOOKUP(AJ5,AO:AP,2,FALSE)))</f>
        <v>0.84082862854004004</v>
      </c>
      <c r="AM5" s="1">
        <f ca="1">SUMIF('Consolidated tables'!B:B,'Docking 2 example'!$T$14,INDIRECT("'Consolidated tables'!"&amp;VLOOKUP(AJ5,AO:AP,2,FALSE)&amp;":"&amp;VLOOKUP(AJ5,AO:AP,2,FALSE)))</f>
        <v>65.92264613479621</v>
      </c>
      <c r="AN5" s="1">
        <f ca="1">SUMIF('Consolidated tables'!B:B,'Docking 2 example'!$T$15,INDIRECT("'Consolidated tables'!"&amp;VLOOKUP(AJ5,AO:AP,2,FALSE)&amp;":"&amp;VLOOKUP(AJ5,AO:AP,2,FALSE)))</f>
        <v>0</v>
      </c>
      <c r="AP5" t="s">
        <v>68</v>
      </c>
      <c r="AQ5" s="1"/>
    </row>
    <row r="6" spans="1:43" ht="24" customHeight="1" thickBot="1">
      <c r="A6" s="37" t="s">
        <v>95</v>
      </c>
      <c r="B6" s="71" t="s">
        <v>3</v>
      </c>
      <c r="D6" s="33">
        <v>2000</v>
      </c>
      <c r="E6" s="36" t="s">
        <v>8</v>
      </c>
      <c r="T6" t="s">
        <v>10</v>
      </c>
      <c r="U6" t="s">
        <v>11</v>
      </c>
      <c r="AJ6">
        <v>6</v>
      </c>
      <c r="AK6">
        <f>AK1+5</f>
        <v>10</v>
      </c>
      <c r="AL6">
        <f ca="1">SUMIF('Consolidated tables'!B:B,'Docking 2 example'!$T$10,INDIRECT("'Consolidated tables'!"&amp;VLOOKUP(AJ6,AO:AP,2,FALSE)&amp;":"&amp;VLOOKUP(AJ6,AO:AP,2,FALSE)))</f>
        <v>0.76565254211425593</v>
      </c>
      <c r="AM6" s="1">
        <f ca="1">SUMIF('Consolidated tables'!B:B,'Docking 2 example'!$T$14,INDIRECT("'Consolidated tables'!"&amp;VLOOKUP(AJ6,AO:AP,2,FALSE)&amp;":"&amp;VLOOKUP(AJ6,AO:AP,2,FALSE)))</f>
        <v>60.028690606841892</v>
      </c>
      <c r="AN6" s="1">
        <f ca="1">SUMIF('Consolidated tables'!B:B,'Docking 2 example'!$T$15,INDIRECT("'Consolidated tables'!"&amp;VLOOKUP(AJ6,AO:AP,2,FALSE)&amp;":"&amp;VLOOKUP(AJ6,AO:AP,2,FALSE)))</f>
        <v>0</v>
      </c>
      <c r="AP6" t="s">
        <v>62</v>
      </c>
      <c r="AQ6" s="1"/>
    </row>
    <row r="7" spans="1:43" ht="24" customHeight="1" thickBot="1">
      <c r="A7" s="36"/>
      <c r="B7" s="36"/>
      <c r="D7" s="11"/>
      <c r="E7" s="36"/>
      <c r="AJ7">
        <v>7</v>
      </c>
      <c r="AK7">
        <f t="shared" ref="AK7:AK50" si="0">AK2+5</f>
        <v>10</v>
      </c>
      <c r="AL7">
        <f ca="1">SUMIF('Consolidated tables'!B:B,'Docking 2 example'!$T$10,INDIRECT("'Consolidated tables'!"&amp;VLOOKUP(AJ7,AO:AP,2,FALSE)&amp;":"&amp;VLOOKUP(AJ7,AO:AP,2,FALSE)))</f>
        <v>0.6996153259277359</v>
      </c>
      <c r="AM7" s="1">
        <f ca="1">SUMIF('Consolidated tables'!B:B,'Docking 2 example'!$T$14,INDIRECT("'Consolidated tables'!"&amp;VLOOKUP(AJ7,AO:AP,2,FALSE)&amp;":"&amp;VLOOKUP(AJ7,AO:AP,2,FALSE)))</f>
        <v>54.851240783386359</v>
      </c>
      <c r="AN7" s="1">
        <f ca="1">SUMIF('Consolidated tables'!B:B,'Docking 2 example'!$T$15,INDIRECT("'Consolidated tables'!"&amp;VLOOKUP(AJ7,AO:AP,2,FALSE)&amp;":"&amp;VLOOKUP(AJ7,AO:AP,2,FALSE)))</f>
        <v>0</v>
      </c>
      <c r="AO7">
        <v>1</v>
      </c>
      <c r="AP7" t="s">
        <v>12</v>
      </c>
      <c r="AQ7" s="1"/>
    </row>
    <row r="8" spans="1:43" ht="24" customHeight="1" thickBot="1">
      <c r="A8" s="37" t="s">
        <v>98</v>
      </c>
      <c r="B8" s="71" t="s">
        <v>6</v>
      </c>
      <c r="D8" s="19">
        <v>400</v>
      </c>
      <c r="E8" s="36" t="s">
        <v>99</v>
      </c>
      <c r="AJ8">
        <v>8</v>
      </c>
      <c r="AK8">
        <f t="shared" si="0"/>
        <v>10</v>
      </c>
      <c r="AL8">
        <f ca="1">SUMIF('Consolidated tables'!B:B,'Docking 2 example'!$T$10,INDIRECT("'Consolidated tables'!"&amp;VLOOKUP(AJ8,AO:AP,2,FALSE)&amp;":"&amp;VLOOKUP(AJ8,AO:AP,2,FALSE)))</f>
        <v>0.64057723999023597</v>
      </c>
      <c r="AM8" s="1">
        <f ca="1">SUMIF('Consolidated tables'!B:B,'Docking 2 example'!$T$14,INDIRECT("'Consolidated tables'!"&amp;VLOOKUP(AJ8,AO:AP,2,FALSE)&amp;":"&amp;VLOOKUP(AJ8,AO:AP,2,FALSE)))</f>
        <v>50.222536769714488</v>
      </c>
      <c r="AN8" s="1">
        <f ca="1">SUMIF('Consolidated tables'!B:B,'Docking 2 example'!$T$15,INDIRECT("'Consolidated tables'!"&amp;VLOOKUP(AJ8,AO:AP,2,FALSE)&amp;":"&amp;VLOOKUP(AJ8,AO:AP,2,FALSE)))</f>
        <v>0</v>
      </c>
      <c r="AO8">
        <v>2</v>
      </c>
      <c r="AP8" t="s">
        <v>13</v>
      </c>
      <c r="AQ8" s="1"/>
    </row>
    <row r="9" spans="1:43" ht="24.95" customHeight="1">
      <c r="AJ9">
        <v>9</v>
      </c>
      <c r="AK9">
        <f t="shared" si="0"/>
        <v>10</v>
      </c>
      <c r="AL9">
        <f ca="1">SUMIF('Consolidated tables'!B:B,'Docking 2 example'!$T$10,INDIRECT("'Consolidated tables'!"&amp;VLOOKUP(AJ9,AO:AP,2,FALSE)&amp;":"&amp;VLOOKUP(AJ9,AO:AP,2,FALSE)))</f>
        <v>0.58725311279296799</v>
      </c>
      <c r="AM9" s="1">
        <f ca="1">SUMIF('Consolidated tables'!B:B,'Docking 2 example'!$T$14,INDIRECT("'Consolidated tables'!"&amp;VLOOKUP(AJ9,AO:AP,2,FALSE)&amp;":"&amp;VLOOKUP(AJ9,AO:AP,2,FALSE)))</f>
        <v>46.041818549194282</v>
      </c>
      <c r="AN9" s="1">
        <f ca="1">SUMIF('Consolidated tables'!B:B,'Docking 2 example'!$T$15,INDIRECT("'Consolidated tables'!"&amp;VLOOKUP(AJ9,AO:AP,2,FALSE)&amp;":"&amp;VLOOKUP(AJ9,AO:AP,2,FALSE)))</f>
        <v>0</v>
      </c>
      <c r="AO9">
        <v>3</v>
      </c>
      <c r="AP9" t="s">
        <v>14</v>
      </c>
      <c r="AQ9" s="1"/>
    </row>
    <row r="10" spans="1:43" ht="26.25">
      <c r="A10" s="31" t="s">
        <v>72</v>
      </c>
      <c r="Q10" s="2"/>
      <c r="R10" s="2"/>
      <c r="S10" s="2"/>
      <c r="T10" s="3">
        <f ca="1">IF(COUNTA(D2:D8)=4,VLOOKUP(D39,AJ:AK,2,FALSE),"")</f>
        <v>15</v>
      </c>
      <c r="U10">
        <f ca="1">VLOOKUP(T10,'Consolidated tables'!B:G,6,FALSE)</f>
        <v>1.1868065643310559</v>
      </c>
      <c r="V10">
        <f ca="1">VLOOKUP(T10,'Consolidated tables'!B:G,6,FALSE)</f>
        <v>1.1868065643310559</v>
      </c>
      <c r="AJ10">
        <v>10</v>
      </c>
      <c r="AK10">
        <f t="shared" si="0"/>
        <v>10</v>
      </c>
      <c r="AL10">
        <f ca="1">SUMIF('Consolidated tables'!B:B,'Docking 2 example'!$T$10,INDIRECT("'Consolidated tables'!"&amp;VLOOKUP(AJ10,AO:AP,2,FALSE)&amp;":"&amp;VLOOKUP(AJ10,AO:AP,2,FALSE)))</f>
        <v>0.53880443572997994</v>
      </c>
      <c r="AM10" s="1">
        <f ca="1">SUMIF('Consolidated tables'!B:B,'Docking 2 example'!$T$14,INDIRECT("'Consolidated tables'!"&amp;VLOOKUP(AJ10,AO:AP,2,FALSE)&amp;":"&amp;VLOOKUP(AJ10,AO:AP,2,FALSE)))</f>
        <v>42.243345370101885</v>
      </c>
      <c r="AN10" s="1">
        <f ca="1">SUMIF('Consolidated tables'!B:B,'Docking 2 example'!$T$15,INDIRECT("'Consolidated tables'!"&amp;VLOOKUP(AJ10,AO:AP,2,FALSE)&amp;":"&amp;VLOOKUP(AJ10,AO:AP,2,FALSE)))</f>
        <v>0</v>
      </c>
      <c r="AO10">
        <v>4</v>
      </c>
      <c r="AP10" t="s">
        <v>15</v>
      </c>
      <c r="AQ10" s="1"/>
    </row>
    <row r="11" spans="1:43" ht="20.100000000000001" customHeight="1">
      <c r="Q11" s="2"/>
      <c r="R11" s="2"/>
      <c r="S11" s="2"/>
      <c r="T11" s="3"/>
      <c r="AJ11">
        <v>11</v>
      </c>
      <c r="AK11">
        <f t="shared" si="0"/>
        <v>15</v>
      </c>
      <c r="AL11">
        <f ca="1">SUMIF('Consolidated tables'!B:B,'Docking 2 example'!$T$10,INDIRECT("'Consolidated tables'!"&amp;VLOOKUP(AJ11,AO:AP,2,FALSE)&amp;":"&amp;VLOOKUP(AJ11,AO:AP,2,FALSE)))</f>
        <v>0.49463417053222797</v>
      </c>
      <c r="AM11" s="1">
        <f ca="1">SUMIF('Consolidated tables'!B:B,'Docking 2 example'!$T$14,INDIRECT("'Consolidated tables'!"&amp;VLOOKUP(AJ11,AO:AP,2,FALSE)&amp;":"&amp;VLOOKUP(AJ11,AO:AP,2,FALSE)))</f>
        <v>38.78030823806774</v>
      </c>
      <c r="AN11" s="1">
        <f ca="1">SUMIF('Consolidated tables'!B:B,'Docking 2 example'!$T$15,INDIRECT("'Consolidated tables'!"&amp;VLOOKUP(AJ11,AO:AP,2,FALSE)&amp;":"&amp;VLOOKUP(AJ11,AO:AP,2,FALSE)))</f>
        <v>0</v>
      </c>
      <c r="AO11">
        <v>5</v>
      </c>
      <c r="AP11" t="s">
        <v>16</v>
      </c>
      <c r="AQ11" s="1"/>
    </row>
    <row r="12" spans="1:43" ht="20.100000000000001" customHeight="1">
      <c r="Q12" s="13"/>
      <c r="R12" s="13"/>
      <c r="S12" s="13"/>
      <c r="T12" s="4">
        <f ca="1">T10+1</f>
        <v>16</v>
      </c>
      <c r="U12">
        <f ca="1">VLOOKUP(T12,'Consolidated tables'!B:H,7,FALSE)</f>
        <v>1.014399709212187</v>
      </c>
      <c r="AJ12">
        <v>12</v>
      </c>
      <c r="AK12">
        <f t="shared" si="0"/>
        <v>15</v>
      </c>
      <c r="AL12">
        <f ca="1">SUMIF('Consolidated tables'!B:B,'Docking 2 example'!$T$10,INDIRECT("'Consolidated tables'!"&amp;VLOOKUP(AJ12,AO:AP,2,FALSE)&amp;":"&amp;VLOOKUP(AJ12,AO:AP,2,FALSE)))</f>
        <v>0.45428211212158404</v>
      </c>
      <c r="AM12" s="1">
        <f ca="1">SUMIF('Consolidated tables'!B:B,'Docking 2 example'!$T$14,INDIRECT("'Consolidated tables'!"&amp;VLOOKUP(AJ12,AO:AP,2,FALSE)&amp;":"&amp;VLOOKUP(AJ12,AO:AP,2,FALSE)))</f>
        <v>35.616626154556428</v>
      </c>
      <c r="AN12" s="1">
        <f ca="1">SUMIF('Consolidated tables'!B:B,'Docking 2 example'!$T$15,INDIRECT("'Consolidated tables'!"&amp;VLOOKUP(AJ12,AO:AP,2,FALSE)&amp;":"&amp;VLOOKUP(AJ12,AO:AP,2,FALSE)))</f>
        <v>0</v>
      </c>
      <c r="AO12">
        <v>6</v>
      </c>
      <c r="AP12" t="s">
        <v>17</v>
      </c>
      <c r="AQ12" s="1"/>
    </row>
    <row r="13" spans="1:43" ht="20.100000000000001" customHeight="1">
      <c r="Q13" s="2"/>
      <c r="R13" s="2"/>
      <c r="S13" s="2"/>
      <c r="T13" s="4"/>
      <c r="AJ13">
        <v>13</v>
      </c>
      <c r="AK13">
        <f t="shared" si="0"/>
        <v>15</v>
      </c>
      <c r="AL13">
        <f ca="1">SUMIF('Consolidated tables'!B:B,'Docking 2 example'!$T$10,INDIRECT("'Consolidated tables'!"&amp;VLOOKUP(AJ13,AO:AP,2,FALSE)&amp;":"&amp;VLOOKUP(AJ13,AO:AP,2,FALSE)))</f>
        <v>0.41737133026123202</v>
      </c>
      <c r="AM13" s="1">
        <f ca="1">SUMIF('Consolidated tables'!B:B,'Docking 2 example'!$T$14,INDIRECT("'Consolidated tables'!"&amp;VLOOKUP(AJ13,AO:AP,2,FALSE)&amp;":"&amp;VLOOKUP(AJ13,AO:AP,2,FALSE)))</f>
        <v>32.722747035141111</v>
      </c>
      <c r="AN13" s="1">
        <f ca="1">SUMIF('Consolidated tables'!B:B,'Docking 2 example'!$T$15,INDIRECT("'Consolidated tables'!"&amp;VLOOKUP(AJ13,AO:AP,2,FALSE)&amp;":"&amp;VLOOKUP(AJ13,AO:AP,2,FALSE)))</f>
        <v>0</v>
      </c>
      <c r="AO13">
        <v>7</v>
      </c>
      <c r="AP13" t="s">
        <v>18</v>
      </c>
      <c r="AQ13" s="1"/>
    </row>
    <row r="14" spans="1:43" ht="20.100000000000001" customHeight="1">
      <c r="Q14" s="2"/>
      <c r="R14" s="2"/>
      <c r="S14" s="2"/>
      <c r="T14" s="4">
        <f ca="1">T10+2</f>
        <v>17</v>
      </c>
      <c r="AJ14">
        <v>14</v>
      </c>
      <c r="AK14">
        <f t="shared" si="0"/>
        <v>15</v>
      </c>
      <c r="AL14">
        <f ca="1">SUMIF('Consolidated tables'!B:B,'Docking 2 example'!$T$10,INDIRECT("'Consolidated tables'!"&amp;VLOOKUP(AJ14,AO:AP,2,FALSE)&amp;":"&amp;VLOOKUP(AJ14,AO:AP,2,FALSE)))</f>
        <v>0.38357986450195319</v>
      </c>
      <c r="AM14" s="1">
        <f ca="1">SUMIF('Consolidated tables'!B:B,'Docking 2 example'!$T$14,INDIRECT("'Consolidated tables'!"&amp;VLOOKUP(AJ14,AO:AP,2,FALSE)&amp;":"&amp;VLOOKUP(AJ14,AO:AP,2,FALSE)))</f>
        <v>30.073428536682133</v>
      </c>
      <c r="AN14" s="1">
        <f ca="1">SUMIF('Consolidated tables'!B:B,'Docking 2 example'!$T$15,INDIRECT("'Consolidated tables'!"&amp;VLOOKUP(AJ14,AO:AP,2,FALSE)&amp;":"&amp;VLOOKUP(AJ14,AO:AP,2,FALSE)))</f>
        <v>0</v>
      </c>
      <c r="AO14">
        <v>8</v>
      </c>
      <c r="AP14" t="s">
        <v>19</v>
      </c>
      <c r="AQ14" s="1"/>
    </row>
    <row r="15" spans="1:43" ht="20.100000000000001" customHeight="1">
      <c r="Q15" s="2"/>
      <c r="R15" s="2"/>
      <c r="S15" s="2"/>
      <c r="T15" s="4">
        <v>18</v>
      </c>
      <c r="AJ15">
        <v>15</v>
      </c>
      <c r="AK15">
        <f t="shared" si="0"/>
        <v>15</v>
      </c>
      <c r="AL15">
        <f ca="1">SUMIF('Consolidated tables'!B:B,'Docking 2 example'!$T$10,INDIRECT("'Consolidated tables'!"&amp;VLOOKUP(AJ15,AO:AP,2,FALSE)&amp;":"&amp;VLOOKUP(AJ15,AO:AP,2,FALSE)))</f>
        <v>0.3526252365112304</v>
      </c>
      <c r="AM15" s="1">
        <f ca="1">SUMIF('Consolidated tables'!B:B,'Docking 2 example'!$T$14,INDIRECT("'Consolidated tables'!"&amp;VLOOKUP(AJ15,AO:AP,2,FALSE)&amp;":"&amp;VLOOKUP(AJ15,AO:AP,2,FALSE)))</f>
        <v>27.646523792953488</v>
      </c>
      <c r="AN15" s="1">
        <f ca="1">SUMIF('Consolidated tables'!B:B,'Docking 2 example'!$T$15,INDIRECT("'Consolidated tables'!"&amp;VLOOKUP(AJ15,AO:AP,2,FALSE)&amp;":"&amp;VLOOKUP(AJ15,AO:AP,2,FALSE)))</f>
        <v>0</v>
      </c>
      <c r="AO15">
        <v>9</v>
      </c>
      <c r="AP15" t="s">
        <v>20</v>
      </c>
      <c r="AQ15" s="1"/>
    </row>
    <row r="16" spans="1:43" ht="20.100000000000001" customHeight="1">
      <c r="V16" t="s">
        <v>8</v>
      </c>
      <c r="W16" t="s">
        <v>89</v>
      </c>
      <c r="X16" s="9" t="s">
        <v>96</v>
      </c>
      <c r="Y16" s="10" t="s">
        <v>97</v>
      </c>
      <c r="Z16" t="s">
        <v>2</v>
      </c>
      <c r="AA16" t="s">
        <v>90</v>
      </c>
      <c r="AC16" t="s">
        <v>85</v>
      </c>
      <c r="AD16" s="40" t="s">
        <v>87</v>
      </c>
      <c r="AE16" s="10"/>
      <c r="AG16" s="10"/>
      <c r="AH16" s="10"/>
      <c r="AJ16">
        <v>16</v>
      </c>
      <c r="AK16">
        <f t="shared" si="0"/>
        <v>20</v>
      </c>
      <c r="AL16">
        <f ca="1">SUMIF('Consolidated tables'!B:B,'Docking 2 example'!$T$10,INDIRECT("'Consolidated tables'!"&amp;VLOOKUP(AJ16,AO:AP,2,FALSE)&amp;":"&amp;VLOOKUP(AJ16,AO:AP,2,FALSE)))</f>
        <v>0.32425590515136721</v>
      </c>
      <c r="AM16" s="1">
        <f ca="1">SUMIF('Consolidated tables'!B:B,'Docking 2 example'!$T$14,INDIRECT("'Consolidated tables'!"&amp;VLOOKUP(AJ16,AO:AP,2,FALSE)&amp;":"&amp;VLOOKUP(AJ16,AO:AP,2,FALSE)))</f>
        <v>25.422311475677489</v>
      </c>
      <c r="AN16" s="1">
        <f ca="1">SUMIF('Consolidated tables'!B:B,'Docking 2 example'!$T$15,INDIRECT("'Consolidated tables'!"&amp;VLOOKUP(AJ16,AO:AP,2,FALSE)&amp;":"&amp;VLOOKUP(AJ16,AO:AP,2,FALSE)))</f>
        <v>0</v>
      </c>
      <c r="AO16">
        <v>10</v>
      </c>
      <c r="AP16" t="s">
        <v>21</v>
      </c>
      <c r="AQ16" s="1"/>
    </row>
    <row r="17" spans="1:43" ht="20.100000000000001" customHeight="1">
      <c r="A17" s="11"/>
      <c r="D17" s="11"/>
      <c r="V17" s="1">
        <f>D6</f>
        <v>2000</v>
      </c>
      <c r="W17" s="1">
        <f ca="1">AL1*$D$8</f>
        <v>474.72262573242239</v>
      </c>
      <c r="X17" s="1">
        <f ca="1">W17*1.33</f>
        <v>631.38109222412186</v>
      </c>
      <c r="Y17" s="1">
        <f ca="1">W17*0.67</f>
        <v>318.06415924072303</v>
      </c>
      <c r="Z17" s="1">
        <f ca="1">IF(V17=$D$2,1,0)</f>
        <v>0</v>
      </c>
      <c r="AA17" t="b">
        <f ca="1">IF(Z17=1,TRUE,FALSE)</f>
        <v>0</v>
      </c>
      <c r="AC17" s="1">
        <f t="shared" ref="AC17:AC66" ca="1" si="1">AM1*$D$8</f>
        <v>37219.203302673377</v>
      </c>
      <c r="AD17" s="1">
        <f ca="1">IF(AA17=TRUE,AC17,0)</f>
        <v>0</v>
      </c>
      <c r="AE17" s="1"/>
      <c r="AF17" s="1"/>
      <c r="AG17" s="1"/>
      <c r="AH17" s="1"/>
      <c r="AI17" s="1"/>
      <c r="AJ17">
        <v>17</v>
      </c>
      <c r="AK17">
        <f t="shared" si="0"/>
        <v>20</v>
      </c>
      <c r="AL17">
        <f ca="1">SUMIF('Consolidated tables'!B:B,'Docking 2 example'!$T$10,INDIRECT("'Consolidated tables'!"&amp;VLOOKUP(AJ17,AO:AP,2,FALSE)&amp;":"&amp;VLOOKUP(AJ17,AO:AP,2,FALSE)))</f>
        <v>0.29824554443359363</v>
      </c>
      <c r="AM17" s="1">
        <f ca="1">SUMIF('Consolidated tables'!B:B,'Docking 2 example'!$T$14,INDIRECT("'Consolidated tables'!"&amp;VLOOKUP(AJ17,AO:AP,2,FALSE)&amp;":"&amp;VLOOKUP(AJ17,AO:AP,2,FALSE)))</f>
        <v>23.383047174682613</v>
      </c>
      <c r="AN17" s="1">
        <f ca="1">SUMIF('Consolidated tables'!B:B,'Docking 2 example'!$T$15,INDIRECT("'Consolidated tables'!"&amp;VLOOKUP(AJ17,AO:AP,2,FALSE)&amp;":"&amp;VLOOKUP(AJ17,AO:AP,2,FALSE)))</f>
        <v>0</v>
      </c>
      <c r="AO17">
        <v>11</v>
      </c>
      <c r="AP17" t="s">
        <v>22</v>
      </c>
      <c r="AQ17" s="1"/>
    </row>
    <row r="18" spans="1:43" ht="20.100000000000001" customHeight="1">
      <c r="A18" s="11"/>
      <c r="D18" s="11"/>
      <c r="V18" s="1">
        <f>V17+1</f>
        <v>2001</v>
      </c>
      <c r="W18" s="1">
        <f t="shared" ref="W18:W66" ca="1" si="2">AL2*$D$8</f>
        <v>467.98379516601602</v>
      </c>
      <c r="X18" s="1">
        <f t="shared" ref="X18:X66" ca="1" si="3">W18*1.33</f>
        <v>622.41844757080139</v>
      </c>
      <c r="Y18" s="1">
        <f t="shared" ref="Y18:Y66" ca="1" si="4">W18*0.67</f>
        <v>313.54914276123077</v>
      </c>
      <c r="Z18" s="1">
        <f t="shared" ref="Z18:Z66" ca="1" si="5">IF(V18=$D$2,1,0)</f>
        <v>0</v>
      </c>
      <c r="AA18" t="b">
        <f ca="1">IF(Z18=1,TRUE,IF(AA17=TRUE,TRUE,FALSE))</f>
        <v>0</v>
      </c>
      <c r="AC18" s="1">
        <f t="shared" ca="1" si="1"/>
        <v>36690.865508605995</v>
      </c>
      <c r="AD18" s="1">
        <f t="shared" ref="AD18:AD66" ca="1" si="6">IF(AA18=TRUE,AC18,0)</f>
        <v>0</v>
      </c>
      <c r="AE18" s="1"/>
      <c r="AF18" s="1"/>
      <c r="AG18" s="1"/>
      <c r="AH18" s="1"/>
      <c r="AI18" s="1"/>
      <c r="AJ18">
        <v>18</v>
      </c>
      <c r="AK18">
        <f t="shared" si="0"/>
        <v>20</v>
      </c>
      <c r="AL18">
        <f ca="1">SUMIF('Consolidated tables'!B:B,'Docking 2 example'!$T$10,INDIRECT("'Consolidated tables'!"&amp;VLOOKUP(AJ18,AO:AP,2,FALSE)&amp;":"&amp;VLOOKUP(AJ18,AO:AP,2,FALSE)))</f>
        <v>0.27438945770263679</v>
      </c>
      <c r="AM18" s="1">
        <f ca="1">SUMIF('Consolidated tables'!B:B,'Docking 2 example'!$T$14,INDIRECT("'Consolidated tables'!"&amp;VLOOKUP(AJ18,AO:AP,2,FALSE)&amp;":"&amp;VLOOKUP(AJ18,AO:AP,2,FALSE)))</f>
        <v>21.51268226280213</v>
      </c>
      <c r="AN18" s="1">
        <f ca="1">SUMIF('Consolidated tables'!B:B,'Docking 2 example'!$T$15,INDIRECT("'Consolidated tables'!"&amp;VLOOKUP(AJ18,AO:AP,2,FALSE)&amp;":"&amp;VLOOKUP(AJ18,AO:AP,2,FALSE)))</f>
        <v>0</v>
      </c>
      <c r="AO18">
        <v>12</v>
      </c>
      <c r="AP18" t="s">
        <v>23</v>
      </c>
      <c r="AQ18" s="1"/>
    </row>
    <row r="19" spans="1:43">
      <c r="V19" s="1">
        <f t="shared" ref="V19:V66" si="7">V18+1</f>
        <v>2002</v>
      </c>
      <c r="W19" s="1">
        <f t="shared" ca="1" si="2"/>
        <v>414.84207153320318</v>
      </c>
      <c r="X19" s="1">
        <f t="shared" ca="1" si="3"/>
        <v>551.73995513916032</v>
      </c>
      <c r="Y19" s="1">
        <f t="shared" ca="1" si="4"/>
        <v>277.94418792724616</v>
      </c>
      <c r="Z19" s="1">
        <f t="shared" ca="1" si="5"/>
        <v>0</v>
      </c>
      <c r="AA19" t="b">
        <f t="shared" ref="AA19:AA66" ca="1" si="8">IF(Z19=1,TRUE,IF(AA18=TRUE,TRUE,FALSE))</f>
        <v>0</v>
      </c>
      <c r="AC19" s="1">
        <f t="shared" ca="1" si="1"/>
        <v>32524.448092346189</v>
      </c>
      <c r="AD19" s="1">
        <f t="shared" ca="1" si="6"/>
        <v>0</v>
      </c>
      <c r="AE19" s="1"/>
      <c r="AF19" s="1"/>
      <c r="AG19" s="1"/>
      <c r="AH19" s="1"/>
      <c r="AI19" s="1"/>
      <c r="AJ19">
        <v>19</v>
      </c>
      <c r="AK19">
        <f>AK14+5</f>
        <v>20</v>
      </c>
      <c r="AL19">
        <f ca="1">SUMIF('Consolidated tables'!B:B,'Docking 2 example'!$T$10,INDIRECT("'Consolidated tables'!"&amp;VLOOKUP(AJ19,AO:AP,2,FALSE)&amp;":"&amp;VLOOKUP(AJ19,AO:AP,2,FALSE)))</f>
        <v>0.25250204086303724</v>
      </c>
      <c r="AM19" s="1">
        <f ca="1">SUMIF('Consolidated tables'!B:B,'Docking 2 example'!$T$14,INDIRECT("'Consolidated tables'!"&amp;VLOOKUP(AJ19,AO:AP,2,FALSE)&amp;":"&amp;VLOOKUP(AJ19,AO:AP,2,FALSE)))</f>
        <v>19.796665007743844</v>
      </c>
      <c r="AN19" s="1">
        <f ca="1">SUMIF('Consolidated tables'!B:B,'Docking 2 example'!$T$15,INDIRECT("'Consolidated tables'!"&amp;VLOOKUP(AJ19,AO:AP,2,FALSE)&amp;":"&amp;VLOOKUP(AJ19,AO:AP,2,FALSE)))</f>
        <v>0</v>
      </c>
      <c r="AO19">
        <v>13</v>
      </c>
      <c r="AP19" t="s">
        <v>24</v>
      </c>
      <c r="AQ19" s="1"/>
    </row>
    <row r="20" spans="1:43">
      <c r="V20" s="1">
        <f t="shared" si="7"/>
        <v>2003</v>
      </c>
      <c r="W20" s="1">
        <f ca="1">AL4*$D$8</f>
        <v>371.57965087890562</v>
      </c>
      <c r="X20" s="1">
        <f t="shared" ca="1" si="3"/>
        <v>494.20093566894451</v>
      </c>
      <c r="Y20" s="1">
        <f t="shared" ca="1" si="4"/>
        <v>248.9583660888668</v>
      </c>
      <c r="Z20" s="1">
        <f t="shared" ca="1" si="5"/>
        <v>0</v>
      </c>
      <c r="AA20" t="b">
        <f t="shared" ca="1" si="8"/>
        <v>0</v>
      </c>
      <c r="AC20" s="1">
        <f t="shared" ca="1" si="1"/>
        <v>29132.587788207959</v>
      </c>
      <c r="AD20" s="1">
        <f t="shared" ca="1" si="6"/>
        <v>0</v>
      </c>
      <c r="AE20" s="1"/>
      <c r="AF20" s="1"/>
      <c r="AG20" s="1"/>
      <c r="AH20" s="1"/>
      <c r="AI20" s="1"/>
      <c r="AJ20">
        <v>20</v>
      </c>
      <c r="AK20">
        <f>AK15+5</f>
        <v>20</v>
      </c>
      <c r="AL20">
        <f ca="1">SUMIF('Consolidated tables'!B:B,'Docking 2 example'!$T$10,INDIRECT("'Consolidated tables'!"&amp;VLOOKUP(AJ20,AO:AP,2,FALSE)&amp;":"&amp;VLOOKUP(AJ20,AO:AP,2,FALSE)))</f>
        <v>0.23241455078125001</v>
      </c>
      <c r="AM20" s="1">
        <f ca="1">SUMIF('Consolidated tables'!B:B,'Docking 2 example'!$T$14,INDIRECT("'Consolidated tables'!"&amp;VLOOKUP(AJ20,AO:AP,2,FALSE)&amp;":"&amp;VLOOKUP(AJ20,AO:AP,2,FALSE)))</f>
        <v>18.221765610351561</v>
      </c>
      <c r="AN20" s="1">
        <f ca="1">SUMIF('Consolidated tables'!B:B,'Docking 2 example'!$T$15,INDIRECT("'Consolidated tables'!"&amp;VLOOKUP(AJ20,AO:AP,2,FALSE)&amp;":"&amp;VLOOKUP(AJ20,AO:AP,2,FALSE)))</f>
        <v>0</v>
      </c>
      <c r="AO20">
        <v>14</v>
      </c>
      <c r="AP20" t="s">
        <v>25</v>
      </c>
      <c r="AQ20" s="1"/>
    </row>
    <row r="21" spans="1:43">
      <c r="V21" s="1">
        <f t="shared" si="7"/>
        <v>2004</v>
      </c>
      <c r="W21" s="1">
        <f ca="1">AL5*$D$8</f>
        <v>336.33145141601602</v>
      </c>
      <c r="X21" s="1">
        <f t="shared" ca="1" si="3"/>
        <v>447.32083038330131</v>
      </c>
      <c r="Y21" s="1">
        <f t="shared" ca="1" si="4"/>
        <v>225.34207244873076</v>
      </c>
      <c r="Z21" s="1">
        <f t="shared" ca="1" si="5"/>
        <v>0</v>
      </c>
      <c r="AA21" t="b">
        <f t="shared" ca="1" si="8"/>
        <v>0</v>
      </c>
      <c r="AC21" s="1">
        <f t="shared" ca="1" si="1"/>
        <v>26369.058453918486</v>
      </c>
      <c r="AD21" s="1">
        <f t="shared" ca="1" si="6"/>
        <v>0</v>
      </c>
      <c r="AE21" s="1"/>
      <c r="AF21" s="1"/>
      <c r="AG21" s="1"/>
      <c r="AH21" s="1"/>
      <c r="AI21" s="1"/>
      <c r="AJ21">
        <v>21</v>
      </c>
      <c r="AK21">
        <f>AK16+5</f>
        <v>25</v>
      </c>
      <c r="AL21">
        <f ca="1">SUMIF('Consolidated tables'!B:B,'Docking 2 example'!$T$10,INDIRECT("'Consolidated tables'!"&amp;VLOOKUP(AJ21,AO:AP,2,FALSE)&amp;":"&amp;VLOOKUP(AJ21,AO:AP,2,FALSE)))</f>
        <v>0.2139734268188476</v>
      </c>
      <c r="AM21" s="1">
        <f ca="1">SUMIF('Consolidated tables'!B:B,'Docking 2 example'!$T$14,INDIRECT("'Consolidated tables'!"&amp;VLOOKUP(AJ21,AO:AP,2,FALSE)&amp;":"&amp;VLOOKUP(AJ21,AO:AP,2,FALSE)))</f>
        <v>16.775944609451287</v>
      </c>
      <c r="AN21" s="1">
        <f ca="1">SUMIF('Consolidated tables'!B:B,'Docking 2 example'!$T$15,INDIRECT("'Consolidated tables'!"&amp;VLOOKUP(AJ21,AO:AP,2,FALSE)&amp;":"&amp;VLOOKUP(AJ21,AO:AP,2,FALSE)))</f>
        <v>0</v>
      </c>
      <c r="AO21">
        <v>15</v>
      </c>
      <c r="AP21" t="s">
        <v>26</v>
      </c>
      <c r="AQ21" s="1"/>
    </row>
    <row r="22" spans="1:43">
      <c r="V22" s="1">
        <f t="shared" si="7"/>
        <v>2005</v>
      </c>
      <c r="W22" s="1">
        <f t="shared" ca="1" si="2"/>
        <v>306.26101684570239</v>
      </c>
      <c r="X22" s="1">
        <f t="shared" ca="1" si="3"/>
        <v>407.32715240478421</v>
      </c>
      <c r="Y22" s="1">
        <f t="shared" ca="1" si="4"/>
        <v>205.19488128662061</v>
      </c>
      <c r="Z22" s="1">
        <f t="shared" ca="1" si="5"/>
        <v>0</v>
      </c>
      <c r="AA22" t="b">
        <f t="shared" ca="1" si="8"/>
        <v>0</v>
      </c>
      <c r="AC22" s="1">
        <f t="shared" ca="1" si="1"/>
        <v>24011.476242736757</v>
      </c>
      <c r="AD22" s="1">
        <f t="shared" ca="1" si="6"/>
        <v>0</v>
      </c>
      <c r="AE22" s="1"/>
      <c r="AF22" s="1"/>
      <c r="AG22" s="1"/>
      <c r="AH22" s="1"/>
      <c r="AI22" s="1"/>
      <c r="AJ22">
        <v>22</v>
      </c>
      <c r="AK22">
        <f>AK17+5</f>
        <v>25</v>
      </c>
      <c r="AL22">
        <f ca="1">SUMIF('Consolidated tables'!B:B,'Docking 2 example'!$T$10,INDIRECT("'Consolidated tables'!"&amp;VLOOKUP(AJ22,AO:AP,2,FALSE)&amp;":"&amp;VLOOKUP(AJ22,AO:AP,2,FALSE)))</f>
        <v>0.1970388221740724</v>
      </c>
      <c r="AM22" s="1">
        <f ca="1">SUMIF('Consolidated tables'!B:B,'Docking 2 example'!$T$14,INDIRECT("'Consolidated tables'!"&amp;VLOOKUP(AJ22,AO:AP,2,FALSE)&amp;":"&amp;VLOOKUP(AJ22,AO:AP,2,FALSE)))</f>
        <v>15.448237736091622</v>
      </c>
      <c r="AN22" s="1">
        <f ca="1">SUMIF('Consolidated tables'!B:B,'Docking 2 example'!$T$15,INDIRECT("'Consolidated tables'!"&amp;VLOOKUP(AJ22,AO:AP,2,FALSE)&amp;":"&amp;VLOOKUP(AJ22,AO:AP,2,FALSE)))</f>
        <v>0</v>
      </c>
      <c r="AO22">
        <v>16</v>
      </c>
      <c r="AP22" t="s">
        <v>27</v>
      </c>
      <c r="AQ22" s="1"/>
    </row>
    <row r="23" spans="1:43">
      <c r="V23" s="1">
        <f t="shared" si="7"/>
        <v>2006</v>
      </c>
      <c r="W23" s="1">
        <f t="shared" ca="1" si="2"/>
        <v>279.84613037109438</v>
      </c>
      <c r="X23" s="1">
        <f t="shared" ca="1" si="3"/>
        <v>372.19535339355554</v>
      </c>
      <c r="Y23" s="1">
        <f t="shared" ca="1" si="4"/>
        <v>187.49690734863324</v>
      </c>
      <c r="Z23" s="1">
        <f t="shared" ca="1" si="5"/>
        <v>0</v>
      </c>
      <c r="AA23" t="b">
        <f t="shared" ca="1" si="8"/>
        <v>0</v>
      </c>
      <c r="AC23" s="1">
        <f t="shared" ca="1" si="1"/>
        <v>21940.496313354543</v>
      </c>
      <c r="AD23" s="1">
        <f t="shared" ca="1" si="6"/>
        <v>0</v>
      </c>
      <c r="AE23" s="1"/>
      <c r="AF23" s="1"/>
      <c r="AG23" s="1"/>
      <c r="AH23" s="1"/>
      <c r="AI23" s="1"/>
      <c r="AJ23">
        <v>23</v>
      </c>
      <c r="AK23">
        <f>AK18+5</f>
        <v>25</v>
      </c>
      <c r="AL23">
        <f ca="1">SUMIF('Consolidated tables'!B:B,'Docking 2 example'!$T$10,INDIRECT("'Consolidated tables'!"&amp;VLOOKUP(AJ23,AO:AP,2,FALSE)&amp;":"&amp;VLOOKUP(AJ23,AO:AP,2,FALSE)))</f>
        <v>0.18148324966430679</v>
      </c>
      <c r="AM23" s="1">
        <f ca="1">SUMIF('Consolidated tables'!B:B,'Docking 2 example'!$T$14,INDIRECT("'Consolidated tables'!"&amp;VLOOKUP(AJ23,AO:AP,2,FALSE)&amp;":"&amp;VLOOKUP(AJ23,AO:AP,2,FALSE)))</f>
        <v>14.228649740180982</v>
      </c>
      <c r="AN23" s="1">
        <f ca="1">SUMIF('Consolidated tables'!B:B,'Docking 2 example'!$T$15,INDIRECT("'Consolidated tables'!"&amp;VLOOKUP(AJ23,AO:AP,2,FALSE)&amp;":"&amp;VLOOKUP(AJ23,AO:AP,2,FALSE)))</f>
        <v>0</v>
      </c>
      <c r="AO23">
        <v>17</v>
      </c>
      <c r="AP23" t="s">
        <v>28</v>
      </c>
      <c r="AQ23" s="1"/>
    </row>
    <row r="24" spans="1:43">
      <c r="V24" s="1">
        <f t="shared" si="7"/>
        <v>2007</v>
      </c>
      <c r="W24" s="1">
        <f t="shared" ca="1" si="2"/>
        <v>256.23089599609438</v>
      </c>
      <c r="X24" s="1">
        <f t="shared" ca="1" si="3"/>
        <v>340.78709167480554</v>
      </c>
      <c r="Y24" s="1">
        <f t="shared" ca="1" si="4"/>
        <v>171.67470031738324</v>
      </c>
      <c r="Z24" s="1">
        <f t="shared" ca="1" si="5"/>
        <v>0</v>
      </c>
      <c r="AA24" t="b">
        <f t="shared" ca="1" si="8"/>
        <v>0</v>
      </c>
      <c r="AC24" s="1">
        <f t="shared" ca="1" si="1"/>
        <v>20089.014707885795</v>
      </c>
      <c r="AD24" s="1">
        <f t="shared" ca="1" si="6"/>
        <v>0</v>
      </c>
      <c r="AE24" s="1"/>
      <c r="AF24" s="1"/>
      <c r="AG24" s="1"/>
      <c r="AH24" s="1"/>
      <c r="AI24" s="1"/>
      <c r="AJ24">
        <v>24</v>
      </c>
      <c r="AK24">
        <f t="shared" si="0"/>
        <v>25</v>
      </c>
      <c r="AL24">
        <f ca="1">SUMIF('Consolidated tables'!B:B,'Docking 2 example'!$T$10,INDIRECT("'Consolidated tables'!"&amp;VLOOKUP(AJ24,AO:AP,2,FALSE)&amp;":"&amp;VLOOKUP(AJ24,AO:AP,2,FALSE)))</f>
        <v>0.1671904754638672</v>
      </c>
      <c r="AM24" s="1">
        <f ca="1">SUMIF('Consolidated tables'!B:B,'Docking 2 example'!$T$14,INDIRECT("'Consolidated tables'!"&amp;VLOOKUP(AJ24,AO:AP,2,FALSE)&amp;":"&amp;VLOOKUP(AJ24,AO:AP,2,FALSE)))</f>
        <v>13.108067657318118</v>
      </c>
      <c r="AN24" s="1">
        <f ca="1">SUMIF('Consolidated tables'!B:B,'Docking 2 example'!$T$15,INDIRECT("'Consolidated tables'!"&amp;VLOOKUP(AJ24,AO:AP,2,FALSE)&amp;":"&amp;VLOOKUP(AJ24,AO:AP,2,FALSE)))</f>
        <v>0</v>
      </c>
      <c r="AO24">
        <v>18</v>
      </c>
      <c r="AP24" t="s">
        <v>29</v>
      </c>
      <c r="AQ24" s="1"/>
    </row>
    <row r="25" spans="1:43">
      <c r="V25" s="1">
        <f t="shared" si="7"/>
        <v>2008</v>
      </c>
      <c r="W25" s="1">
        <f t="shared" ca="1" si="2"/>
        <v>234.90124511718719</v>
      </c>
      <c r="X25" s="1">
        <f t="shared" ca="1" si="3"/>
        <v>312.41865600585896</v>
      </c>
      <c r="Y25" s="1">
        <f t="shared" ca="1" si="4"/>
        <v>157.38383422851541</v>
      </c>
      <c r="Z25" s="1">
        <f t="shared" ca="1" si="5"/>
        <v>0</v>
      </c>
      <c r="AA25" t="b">
        <f t="shared" ca="1" si="8"/>
        <v>0</v>
      </c>
      <c r="AC25" s="1">
        <f t="shared" ca="1" si="1"/>
        <v>18416.727419677714</v>
      </c>
      <c r="AD25" s="1">
        <f t="shared" ca="1" si="6"/>
        <v>0</v>
      </c>
      <c r="AE25" s="1"/>
      <c r="AF25" s="1"/>
      <c r="AG25" s="1"/>
      <c r="AH25" s="1"/>
      <c r="AI25" s="1"/>
      <c r="AJ25">
        <v>25</v>
      </c>
      <c r="AK25">
        <f t="shared" si="0"/>
        <v>25</v>
      </c>
      <c r="AL25">
        <f ca="1">SUMIF('Consolidated tables'!B:B,'Docking 2 example'!$T$10,INDIRECT("'Consolidated tables'!"&amp;VLOOKUP(AJ25,AO:AP,2,FALSE)&amp;":"&amp;VLOOKUP(AJ25,AO:AP,2,FALSE)))</f>
        <v>0.1540544509887696</v>
      </c>
      <c r="AM25" s="1">
        <f ca="1">SUMIF('Consolidated tables'!B:B,'Docking 2 example'!$T$14,INDIRECT("'Consolidated tables'!"&amp;VLOOKUP(AJ25,AO:AP,2,FALSE)&amp;":"&amp;VLOOKUP(AJ25,AO:AP,2,FALSE)))</f>
        <v>12.078177066421516</v>
      </c>
      <c r="AN25" s="1">
        <f ca="1">SUMIF('Consolidated tables'!B:B,'Docking 2 example'!$T$15,INDIRECT("'Consolidated tables'!"&amp;VLOOKUP(AJ25,AO:AP,2,FALSE)&amp;":"&amp;VLOOKUP(AJ25,AO:AP,2,FALSE)))</f>
        <v>0</v>
      </c>
      <c r="AO25">
        <v>19</v>
      </c>
      <c r="AP25" t="s">
        <v>30</v>
      </c>
      <c r="AQ25" s="1"/>
    </row>
    <row r="26" spans="1:43">
      <c r="V26" s="1">
        <f t="shared" si="7"/>
        <v>2009</v>
      </c>
      <c r="W26" s="1">
        <f t="shared" ca="1" si="2"/>
        <v>215.52177429199196</v>
      </c>
      <c r="X26" s="1">
        <f t="shared" ca="1" si="3"/>
        <v>286.64395980834934</v>
      </c>
      <c r="Y26" s="1">
        <f t="shared" ca="1" si="4"/>
        <v>144.39958877563461</v>
      </c>
      <c r="Z26" s="1">
        <f t="shared" ca="1" si="5"/>
        <v>0</v>
      </c>
      <c r="AA26" t="b">
        <f t="shared" ca="1" si="8"/>
        <v>0</v>
      </c>
      <c r="AC26" s="1">
        <f t="shared" ca="1" si="1"/>
        <v>16897.338148040755</v>
      </c>
      <c r="AD26" s="1">
        <f t="shared" ca="1" si="6"/>
        <v>0</v>
      </c>
      <c r="AE26" s="1"/>
      <c r="AF26" s="1"/>
      <c r="AG26" s="1"/>
      <c r="AH26" s="1"/>
      <c r="AI26" s="1"/>
      <c r="AJ26">
        <v>26</v>
      </c>
      <c r="AK26">
        <f t="shared" si="0"/>
        <v>30</v>
      </c>
      <c r="AL26">
        <f ca="1">SUMIF('Consolidated tables'!B:B,'Docking 2 example'!$T$10,INDIRECT("'Consolidated tables'!"&amp;VLOOKUP(AJ26,AO:AP,2,FALSE)&amp;":"&amp;VLOOKUP(AJ26,AO:AP,2,FALSE)))</f>
        <v>0.14197839736938481</v>
      </c>
      <c r="AM26" s="1">
        <f ca="1">SUMIF('Consolidated tables'!B:B,'Docking 2 example'!$T$14,INDIRECT("'Consolidated tables'!"&amp;VLOOKUP(AJ26,AO:AP,2,FALSE)&amp;":"&amp;VLOOKUP(AJ26,AO:AP,2,FALSE)))</f>
        <v>11.131390310554508</v>
      </c>
      <c r="AN26" s="1">
        <f ca="1">SUMIF('Consolidated tables'!B:B,'Docking 2 example'!$T$15,INDIRECT("'Consolidated tables'!"&amp;VLOOKUP(AJ26,AO:AP,2,FALSE)&amp;":"&amp;VLOOKUP(AJ26,AO:AP,2,FALSE)))</f>
        <v>0</v>
      </c>
      <c r="AO26">
        <v>20</v>
      </c>
      <c r="AP26" t="s">
        <v>31</v>
      </c>
      <c r="AQ26" s="1"/>
    </row>
    <row r="27" spans="1:43">
      <c r="V27" s="1">
        <f t="shared" si="7"/>
        <v>2010</v>
      </c>
      <c r="W27" s="1">
        <f t="shared" ca="1" si="2"/>
        <v>197.85366821289119</v>
      </c>
      <c r="X27" s="1">
        <f t="shared" ca="1" si="3"/>
        <v>263.14537872314531</v>
      </c>
      <c r="Y27" s="1">
        <f t="shared" ca="1" si="4"/>
        <v>132.5619577026371</v>
      </c>
      <c r="Z27" s="1">
        <f t="shared" ca="1" si="5"/>
        <v>0</v>
      </c>
      <c r="AA27" t="b">
        <f t="shared" ca="1" si="8"/>
        <v>0</v>
      </c>
      <c r="AC27" s="1">
        <f t="shared" ca="1" si="1"/>
        <v>15512.123295227097</v>
      </c>
      <c r="AD27" s="1">
        <f t="shared" ca="1" si="6"/>
        <v>0</v>
      </c>
      <c r="AE27" s="1"/>
      <c r="AF27" s="1"/>
      <c r="AG27" s="1"/>
      <c r="AH27" s="1"/>
      <c r="AI27" s="1"/>
      <c r="AJ27">
        <v>27</v>
      </c>
      <c r="AK27">
        <f t="shared" si="0"/>
        <v>30</v>
      </c>
      <c r="AL27">
        <f ca="1">SUMIF('Consolidated tables'!B:B,'Docking 2 example'!$T$10,INDIRECT("'Consolidated tables'!"&amp;VLOOKUP(AJ27,AO:AP,2,FALSE)&amp;":"&amp;VLOOKUP(AJ27,AO:AP,2,FALSE)))</f>
        <v>0.1308739280700684</v>
      </c>
      <c r="AM27" s="1">
        <f ca="1">SUMIF('Consolidated tables'!B:B,'Docking 2 example'!$T$14,INDIRECT("'Consolidated tables'!"&amp;VLOOKUP(AJ27,AO:AP,2,FALSE)&amp;":"&amp;VLOOKUP(AJ27,AO:AP,2,FALSE)))</f>
        <v>10.260777708549503</v>
      </c>
      <c r="AN27" s="1">
        <f ca="1">SUMIF('Consolidated tables'!B:B,'Docking 2 example'!$T$15,INDIRECT("'Consolidated tables'!"&amp;VLOOKUP(AJ27,AO:AP,2,FALSE)&amp;":"&amp;VLOOKUP(AJ27,AO:AP,2,FALSE)))</f>
        <v>0</v>
      </c>
      <c r="AO27">
        <v>21</v>
      </c>
      <c r="AP27" t="s">
        <v>32</v>
      </c>
      <c r="AQ27" s="1"/>
    </row>
    <row r="28" spans="1:43">
      <c r="V28" s="1">
        <f>V27+1</f>
        <v>2011</v>
      </c>
      <c r="W28" s="1">
        <f t="shared" ca="1" si="2"/>
        <v>181.71284484863361</v>
      </c>
      <c r="X28" s="1">
        <f t="shared" ca="1" si="3"/>
        <v>241.6780836486827</v>
      </c>
      <c r="Y28" s="1">
        <f t="shared" ca="1" si="4"/>
        <v>121.74760604858453</v>
      </c>
      <c r="Z28" s="1">
        <f t="shared" ca="1" si="5"/>
        <v>0</v>
      </c>
      <c r="AA28" t="b">
        <f t="shared" ca="1" si="8"/>
        <v>0</v>
      </c>
      <c r="AC28" s="1">
        <f t="shared" ca="1" si="1"/>
        <v>14246.650461822572</v>
      </c>
      <c r="AD28" s="1">
        <f t="shared" ca="1" si="6"/>
        <v>0</v>
      </c>
      <c r="AE28" s="1"/>
      <c r="AF28" s="1"/>
      <c r="AG28" s="1"/>
      <c r="AH28" s="1"/>
      <c r="AI28" s="1"/>
      <c r="AJ28">
        <v>28</v>
      </c>
      <c r="AK28">
        <f t="shared" si="0"/>
        <v>30</v>
      </c>
      <c r="AL28">
        <f ca="1">SUMIF('Consolidated tables'!B:B,'Docking 2 example'!$T$10,INDIRECT("'Consolidated tables'!"&amp;VLOOKUP(AJ28,AO:AP,2,FALSE)&amp;":"&amp;VLOOKUP(AJ28,AO:AP,2,FALSE)))</f>
        <v>0.12066032409667959</v>
      </c>
      <c r="AM28" s="1">
        <f ca="1">SUMIF('Consolidated tables'!B:B,'Docking 2 example'!$T$14,INDIRECT("'Consolidated tables'!"&amp;VLOOKUP(AJ28,AO:AP,2,FALSE)&amp;":"&amp;VLOOKUP(AJ28,AO:AP,2,FALSE)))</f>
        <v>9.4600107298278733</v>
      </c>
      <c r="AN28" s="1">
        <f ca="1">SUMIF('Consolidated tables'!B:B,'Docking 2 example'!$T$15,INDIRECT("'Consolidated tables'!"&amp;VLOOKUP(AJ28,AO:AP,2,FALSE)&amp;":"&amp;VLOOKUP(AJ28,AO:AP,2,FALSE)))</f>
        <v>0</v>
      </c>
      <c r="AO28">
        <v>22</v>
      </c>
      <c r="AP28" t="s">
        <v>33</v>
      </c>
      <c r="AQ28" s="1"/>
    </row>
    <row r="29" spans="1:43">
      <c r="V29" s="1">
        <f t="shared" si="7"/>
        <v>2012</v>
      </c>
      <c r="W29" s="1">
        <f t="shared" ca="1" si="2"/>
        <v>166.94853210449281</v>
      </c>
      <c r="X29" s="1">
        <f t="shared" ca="1" si="3"/>
        <v>222.04154769897545</v>
      </c>
      <c r="Y29" s="1">
        <f t="shared" ca="1" si="4"/>
        <v>111.85551651001019</v>
      </c>
      <c r="Z29" s="1">
        <f t="shared" ca="1" si="5"/>
        <v>0</v>
      </c>
      <c r="AA29" t="b">
        <f t="shared" ca="1" si="8"/>
        <v>0</v>
      </c>
      <c r="AC29" s="1">
        <f t="shared" ca="1" si="1"/>
        <v>13089.098814056444</v>
      </c>
      <c r="AD29" s="1">
        <f t="shared" ca="1" si="6"/>
        <v>0</v>
      </c>
      <c r="AE29" s="1"/>
      <c r="AF29" s="1"/>
      <c r="AG29" s="1"/>
      <c r="AH29" s="1"/>
      <c r="AI29" s="1"/>
      <c r="AJ29">
        <v>29</v>
      </c>
      <c r="AK29">
        <f t="shared" si="0"/>
        <v>30</v>
      </c>
      <c r="AL29">
        <f ca="1">SUMIF('Consolidated tables'!B:B,'Docking 2 example'!$T$10,INDIRECT("'Consolidated tables'!"&amp;VLOOKUP(AJ29,AO:AP,2,FALSE)&amp;":"&amp;VLOOKUP(AJ29,AO:AP,2,FALSE)))</f>
        <v>0.1112638187408448</v>
      </c>
      <c r="AM29" s="1">
        <f ca="1">SUMIF('Consolidated tables'!B:B,'Docking 2 example'!$T$14,INDIRECT("'Consolidated tables'!"&amp;VLOOKUP(AJ29,AO:AP,2,FALSE)&amp;":"&amp;VLOOKUP(AJ29,AO:AP,2,FALSE)))</f>
        <v>8.7233059169197151</v>
      </c>
      <c r="AN29" s="1">
        <f ca="1">SUMIF('Consolidated tables'!B:B,'Docking 2 example'!$T$15,INDIRECT("'Consolidated tables'!"&amp;VLOOKUP(AJ29,AO:AP,2,FALSE)&amp;":"&amp;VLOOKUP(AJ29,AO:AP,2,FALSE)))</f>
        <v>0</v>
      </c>
      <c r="AO29">
        <v>23</v>
      </c>
      <c r="AP29" t="s">
        <v>34</v>
      </c>
      <c r="AQ29" s="1"/>
    </row>
    <row r="30" spans="1:43">
      <c r="V30" s="1">
        <f t="shared" si="7"/>
        <v>2013</v>
      </c>
      <c r="W30" s="1">
        <f t="shared" ca="1" si="2"/>
        <v>153.43194580078128</v>
      </c>
      <c r="X30" s="1">
        <f t="shared" ca="1" si="3"/>
        <v>204.06448791503911</v>
      </c>
      <c r="Y30" s="1">
        <f t="shared" ca="1" si="4"/>
        <v>102.79940368652346</v>
      </c>
      <c r="Z30" s="1">
        <f t="shared" ca="1" si="5"/>
        <v>0</v>
      </c>
      <c r="AA30" t="b">
        <f t="shared" ca="1" si="8"/>
        <v>0</v>
      </c>
      <c r="AC30" s="1">
        <f t="shared" ca="1" si="1"/>
        <v>12029.371414672853</v>
      </c>
      <c r="AD30" s="1">
        <f t="shared" ca="1" si="6"/>
        <v>0</v>
      </c>
      <c r="AE30" s="1"/>
      <c r="AF30" s="1"/>
      <c r="AG30" s="1"/>
      <c r="AH30" s="1"/>
      <c r="AI30" s="1"/>
      <c r="AJ30">
        <v>30</v>
      </c>
      <c r="AK30">
        <f t="shared" si="0"/>
        <v>30</v>
      </c>
      <c r="AL30">
        <f ca="1">SUMIF('Consolidated tables'!B:B,'Docking 2 example'!$T$10,INDIRECT("'Consolidated tables'!"&amp;VLOOKUP(AJ30,AO:AP,2,FALSE)&amp;":"&amp;VLOOKUP(AJ30,AO:AP,2,FALSE)))</f>
        <v>0.1026169872283936</v>
      </c>
      <c r="AM30" s="1">
        <f ca="1">SUMIF('Consolidated tables'!B:B,'Docking 2 example'!$T$14,INDIRECT("'Consolidated tables'!"&amp;VLOOKUP(AJ30,AO:AP,2,FALSE)&amp;":"&amp;VLOOKUP(AJ30,AO:AP,2,FALSE)))</f>
        <v>8.0453770326805145</v>
      </c>
      <c r="AN30" s="1">
        <f ca="1">SUMIF('Consolidated tables'!B:B,'Docking 2 example'!$T$15,INDIRECT("'Consolidated tables'!"&amp;VLOOKUP(AJ30,AO:AP,2,FALSE)&amp;":"&amp;VLOOKUP(AJ30,AO:AP,2,FALSE)))</f>
        <v>0</v>
      </c>
      <c r="AO30">
        <v>24</v>
      </c>
      <c r="AP30" t="s">
        <v>35</v>
      </c>
      <c r="AQ30" s="1"/>
    </row>
    <row r="31" spans="1:43">
      <c r="V31" s="1">
        <f t="shared" si="7"/>
        <v>2014</v>
      </c>
      <c r="W31" s="1">
        <f t="shared" ca="1" si="2"/>
        <v>141.05009460449216</v>
      </c>
      <c r="X31" s="1">
        <f t="shared" ca="1" si="3"/>
        <v>187.59662582397459</v>
      </c>
      <c r="Y31" s="1">
        <f t="shared" ca="1" si="4"/>
        <v>94.503563385009755</v>
      </c>
      <c r="Z31" s="1">
        <f t="shared" ca="1" si="5"/>
        <v>0</v>
      </c>
      <c r="AA31" t="b">
        <f t="shared" ca="1" si="8"/>
        <v>0</v>
      </c>
      <c r="AC31" s="1">
        <f t="shared" ca="1" si="1"/>
        <v>11058.609517181396</v>
      </c>
      <c r="AD31" s="1">
        <f t="shared" ca="1" si="6"/>
        <v>0</v>
      </c>
      <c r="AE31" s="1"/>
      <c r="AF31" s="1"/>
      <c r="AG31" s="1"/>
      <c r="AH31" s="1"/>
      <c r="AI31" s="1"/>
      <c r="AJ31">
        <v>31</v>
      </c>
      <c r="AK31">
        <f t="shared" si="0"/>
        <v>35</v>
      </c>
      <c r="AL31">
        <f ca="1">SUMIF('Consolidated tables'!B:B,'Docking 2 example'!$T$10,INDIRECT("'Consolidated tables'!"&amp;VLOOKUP(AJ31,AO:AP,2,FALSE)&amp;":"&amp;VLOOKUP(AJ31,AO:AP,2,FALSE)))</f>
        <v>9.4658184051513605E-2</v>
      </c>
      <c r="AM31" s="1">
        <f ca="1">SUMIF('Consolidated tables'!B:B,'Docking 2 example'!$T$14,INDIRECT("'Consolidated tables'!"&amp;VLOOKUP(AJ31,AO:AP,2,FALSE)&amp;":"&amp;VLOOKUP(AJ31,AO:AP,2,FALSE)))</f>
        <v>7.4213909460067704</v>
      </c>
      <c r="AN31" s="1">
        <f ca="1">SUMIF('Consolidated tables'!B:B,'Docking 2 example'!$T$15,INDIRECT("'Consolidated tables'!"&amp;VLOOKUP(AJ31,AO:AP,2,FALSE)&amp;":"&amp;VLOOKUP(AJ31,AO:AP,2,FALSE)))</f>
        <v>0</v>
      </c>
      <c r="AO31">
        <v>25</v>
      </c>
      <c r="AP31" t="s">
        <v>36</v>
      </c>
      <c r="AQ31" s="1"/>
    </row>
    <row r="32" spans="1:43">
      <c r="V32" s="1">
        <f t="shared" si="7"/>
        <v>2015</v>
      </c>
      <c r="W32" s="1">
        <f t="shared" ca="1" si="2"/>
        <v>129.70236206054687</v>
      </c>
      <c r="X32" s="1">
        <f t="shared" ca="1" si="3"/>
        <v>172.50414154052734</v>
      </c>
      <c r="Y32" s="1">
        <f t="shared" ca="1" si="4"/>
        <v>86.900582580566407</v>
      </c>
      <c r="Z32" s="1">
        <f t="shared" ca="1" si="5"/>
        <v>1</v>
      </c>
      <c r="AA32" t="b">
        <f t="shared" ca="1" si="8"/>
        <v>1</v>
      </c>
      <c r="AC32" s="1">
        <f t="shared" ca="1" si="1"/>
        <v>10168.924590270995</v>
      </c>
      <c r="AD32" s="1">
        <f t="shared" ca="1" si="6"/>
        <v>10168.924590270995</v>
      </c>
      <c r="AE32" s="1"/>
      <c r="AF32" s="1"/>
      <c r="AG32" s="1"/>
      <c r="AH32" s="1"/>
      <c r="AI32" s="1"/>
      <c r="AJ32">
        <v>32</v>
      </c>
      <c r="AK32">
        <f t="shared" si="0"/>
        <v>35</v>
      </c>
      <c r="AL32">
        <f ca="1">SUMIF('Consolidated tables'!B:B,'Docking 2 example'!$T$10,INDIRECT("'Consolidated tables'!"&amp;VLOOKUP(AJ32,AO:AP,2,FALSE)&amp;":"&amp;VLOOKUP(AJ32,AO:AP,2,FALSE)))</f>
        <v>8.7330999374389595E-2</v>
      </c>
      <c r="AM32" s="1">
        <f ca="1">SUMIF('Consolidated tables'!B:B,'Docking 2 example'!$T$14,INDIRECT("'Consolidated tables'!"&amp;VLOOKUP(AJ32,AO:AP,2,FALSE)&amp;":"&amp;VLOOKUP(AJ32,AO:AP,2,FALSE)))</f>
        <v>6.8469250129508925</v>
      </c>
      <c r="AN32" s="1">
        <f ca="1">SUMIF('Consolidated tables'!B:B,'Docking 2 example'!$T$15,INDIRECT("'Consolidated tables'!"&amp;VLOOKUP(AJ32,AO:AP,2,FALSE)&amp;":"&amp;VLOOKUP(AJ32,AO:AP,2,FALSE)))</f>
        <v>0</v>
      </c>
      <c r="AO32">
        <v>26</v>
      </c>
      <c r="AP32" t="s">
        <v>37</v>
      </c>
      <c r="AQ32" s="1"/>
    </row>
    <row r="33" spans="1:43">
      <c r="V33" s="1">
        <f t="shared" si="7"/>
        <v>2016</v>
      </c>
      <c r="W33" s="1">
        <f t="shared" ca="1" si="2"/>
        <v>119.29821777343746</v>
      </c>
      <c r="X33" s="1">
        <f t="shared" ca="1" si="3"/>
        <v>158.66662963867182</v>
      </c>
      <c r="Y33" s="1">
        <f t="shared" ca="1" si="4"/>
        <v>79.929805908203107</v>
      </c>
      <c r="Z33" s="1">
        <f t="shared" ca="1" si="5"/>
        <v>0</v>
      </c>
      <c r="AA33" t="b">
        <f t="shared" ca="1" si="8"/>
        <v>1</v>
      </c>
      <c r="AC33" s="1">
        <f t="shared" ca="1" si="1"/>
        <v>9353.2188698730442</v>
      </c>
      <c r="AD33" s="1">
        <f t="shared" ca="1" si="6"/>
        <v>9353.2188698730442</v>
      </c>
      <c r="AE33" s="1"/>
      <c r="AF33" s="1"/>
      <c r="AG33" s="1"/>
      <c r="AH33" s="1"/>
      <c r="AI33" s="1"/>
      <c r="AJ33">
        <v>33</v>
      </c>
      <c r="AK33">
        <f t="shared" si="0"/>
        <v>35</v>
      </c>
      <c r="AL33">
        <f ca="1">SUMIF('Consolidated tables'!B:B,'Docking 2 example'!$T$10,INDIRECT("'Consolidated tables'!"&amp;VLOOKUP(AJ33,AO:AP,2,FALSE)&amp;":"&amp;VLOOKUP(AJ33,AO:AP,2,FALSE)))</f>
        <v>8.0583829879760802E-2</v>
      </c>
      <c r="AM33" s="1">
        <f ca="1">SUMIF('Consolidated tables'!B:B,'Docking 2 example'!$T$14,INDIRECT("'Consolidated tables'!"&amp;VLOOKUP(AJ33,AO:AP,2,FALSE)&amp;":"&amp;VLOOKUP(AJ33,AO:AP,2,FALSE)))</f>
        <v>6.3179334302330066</v>
      </c>
      <c r="AN33" s="1">
        <f ca="1">SUMIF('Consolidated tables'!B:B,'Docking 2 example'!$T$15,INDIRECT("'Consolidated tables'!"&amp;VLOOKUP(AJ33,AO:AP,2,FALSE)&amp;":"&amp;VLOOKUP(AJ33,AO:AP,2,FALSE)))</f>
        <v>0</v>
      </c>
      <c r="AO33">
        <v>27</v>
      </c>
      <c r="AP33" t="s">
        <v>38</v>
      </c>
      <c r="AQ33" s="1"/>
    </row>
    <row r="34" spans="1:43">
      <c r="V34" s="1">
        <f t="shared" si="7"/>
        <v>2017</v>
      </c>
      <c r="W34" s="1">
        <f t="shared" ca="1" si="2"/>
        <v>109.75578308105472</v>
      </c>
      <c r="X34" s="1">
        <f t="shared" ca="1" si="3"/>
        <v>145.97519149780277</v>
      </c>
      <c r="Y34" s="1">
        <f t="shared" ca="1" si="4"/>
        <v>73.536374664306663</v>
      </c>
      <c r="Z34" s="1">
        <f t="shared" ca="1" si="5"/>
        <v>0</v>
      </c>
      <c r="AA34" t="b">
        <f t="shared" ca="1" si="8"/>
        <v>1</v>
      </c>
      <c r="AC34" s="1">
        <f t="shared" ca="1" si="1"/>
        <v>8605.0729051208527</v>
      </c>
      <c r="AD34" s="1">
        <f t="shared" ca="1" si="6"/>
        <v>8605.0729051208527</v>
      </c>
      <c r="AE34" s="1"/>
      <c r="AF34" s="1"/>
      <c r="AG34" s="1"/>
      <c r="AH34" s="1"/>
      <c r="AI34" s="1"/>
      <c r="AJ34">
        <v>34</v>
      </c>
      <c r="AK34">
        <f t="shared" si="0"/>
        <v>35</v>
      </c>
      <c r="AL34">
        <f ca="1">SUMIF('Consolidated tables'!B:B,'Docking 2 example'!$T$10,INDIRECT("'Consolidated tables'!"&amp;VLOOKUP(AJ34,AO:AP,2,FALSE)&amp;":"&amp;VLOOKUP(AJ34,AO:AP,2,FALSE)))</f>
        <v>7.4369425773620795E-2</v>
      </c>
      <c r="AM34" s="1">
        <f ca="1">SUMIF('Consolidated tables'!B:B,'Docking 2 example'!$T$14,INDIRECT("'Consolidated tables'!"&amp;VLOOKUP(AJ34,AO:AP,2,FALSE)&amp;":"&amp;VLOOKUP(AJ34,AO:AP,2,FALSE)))</f>
        <v>5.8307117195034177</v>
      </c>
      <c r="AN34" s="1">
        <f ca="1">SUMIF('Consolidated tables'!B:B,'Docking 2 example'!$T$15,INDIRECT("'Consolidated tables'!"&amp;VLOOKUP(AJ34,AO:AP,2,FALSE)&amp;":"&amp;VLOOKUP(AJ34,AO:AP,2,FALSE)))</f>
        <v>0</v>
      </c>
      <c r="AO34">
        <v>28</v>
      </c>
      <c r="AP34" t="s">
        <v>39</v>
      </c>
      <c r="AQ34" s="1"/>
    </row>
    <row r="35" spans="1:43">
      <c r="V35" s="1">
        <f t="shared" si="7"/>
        <v>2018</v>
      </c>
      <c r="W35" s="1">
        <f t="shared" ca="1" si="2"/>
        <v>101.0008163452149</v>
      </c>
      <c r="X35" s="1">
        <f t="shared" ca="1" si="3"/>
        <v>134.33108573913583</v>
      </c>
      <c r="Y35" s="1">
        <f t="shared" ca="1" si="4"/>
        <v>67.670546951293986</v>
      </c>
      <c r="Z35" s="1">
        <f t="shared" ca="1" si="5"/>
        <v>0</v>
      </c>
      <c r="AA35" t="b">
        <f t="shared" ca="1" si="8"/>
        <v>1</v>
      </c>
      <c r="AC35" s="1">
        <f t="shared" ca="1" si="1"/>
        <v>7918.6660030975372</v>
      </c>
      <c r="AD35" s="1">
        <f t="shared" ca="1" si="6"/>
        <v>7918.6660030975372</v>
      </c>
      <c r="AE35" s="1"/>
      <c r="AF35" s="1"/>
      <c r="AG35" s="1"/>
      <c r="AH35" s="1"/>
      <c r="AI35" s="1"/>
      <c r="AJ35">
        <v>35</v>
      </c>
      <c r="AK35">
        <f t="shared" si="0"/>
        <v>35</v>
      </c>
      <c r="AL35">
        <f ca="1">SUMIF('Consolidated tables'!B:B,'Docking 2 example'!$T$10,INDIRECT("'Consolidated tables'!"&amp;VLOOKUP(AJ35,AO:AP,2,FALSE)&amp;":"&amp;VLOOKUP(AJ35,AO:AP,2,FALSE)))</f>
        <v>6.8644533157348808E-2</v>
      </c>
      <c r="AM35" s="1">
        <f ca="1">SUMIF('Consolidated tables'!B:B,'Docking 2 example'!$T$14,INDIRECT("'Consolidated tables'!"&amp;VLOOKUP(AJ35,AO:AP,2,FALSE)&amp;":"&amp;VLOOKUP(AJ35,AO:AP,2,FALSE)))</f>
        <v>5.3818686886024611</v>
      </c>
      <c r="AN35" s="1">
        <f ca="1">SUMIF('Consolidated tables'!B:B,'Docking 2 example'!$T$15,INDIRECT("'Consolidated tables'!"&amp;VLOOKUP(AJ35,AO:AP,2,FALSE)&amp;":"&amp;VLOOKUP(AJ35,AO:AP,2,FALSE)))</f>
        <v>0</v>
      </c>
      <c r="AO35">
        <v>29</v>
      </c>
      <c r="AP35" t="s">
        <v>40</v>
      </c>
      <c r="AQ35" s="1"/>
    </row>
    <row r="36" spans="1:43">
      <c r="V36" s="1">
        <f t="shared" si="7"/>
        <v>2019</v>
      </c>
      <c r="W36" s="1">
        <f t="shared" ca="1" si="2"/>
        <v>92.9658203125</v>
      </c>
      <c r="X36" s="1">
        <f t="shared" ca="1" si="3"/>
        <v>123.64454101562501</v>
      </c>
      <c r="Y36" s="1">
        <f t="shared" ca="1" si="4"/>
        <v>62.287099609375005</v>
      </c>
      <c r="Z36" s="1">
        <f t="shared" ca="1" si="5"/>
        <v>0</v>
      </c>
      <c r="AA36" t="b">
        <f t="shared" ca="1" si="8"/>
        <v>1</v>
      </c>
      <c r="AC36" s="1">
        <f t="shared" ca="1" si="1"/>
        <v>7288.7062441406242</v>
      </c>
      <c r="AD36" s="1">
        <f t="shared" ca="1" si="6"/>
        <v>7288.7062441406242</v>
      </c>
      <c r="AE36" s="1"/>
      <c r="AF36" s="1"/>
      <c r="AG36" s="1"/>
      <c r="AH36" s="1"/>
      <c r="AI36" s="1"/>
      <c r="AJ36">
        <v>36</v>
      </c>
      <c r="AK36">
        <f t="shared" si="0"/>
        <v>40</v>
      </c>
      <c r="AL36">
        <f ca="1">SUMIF('Consolidated tables'!B:B,'Docking 2 example'!$T$10,INDIRECT("'Consolidated tables'!"&amp;VLOOKUP(AJ36,AO:AP,2,FALSE)&amp;":"&amp;VLOOKUP(AJ36,AO:AP,2,FALSE)))</f>
        <v>6.3369526863098005E-2</v>
      </c>
      <c r="AM36" s="1">
        <f ca="1">SUMIF('Consolidated tables'!B:B,'Docking 2 example'!$T$14,INDIRECT("'Consolidated tables'!"&amp;VLOOKUP(AJ36,AO:AP,2,FALSE)&amp;":"&amp;VLOOKUP(AJ36,AO:AP,2,FALSE)))</f>
        <v>4.96829764512061</v>
      </c>
      <c r="AN36" s="1">
        <f ca="1">SUMIF('Consolidated tables'!B:B,'Docking 2 example'!$T$15,INDIRECT("'Consolidated tables'!"&amp;VLOOKUP(AJ36,AO:AP,2,FALSE)&amp;":"&amp;VLOOKUP(AJ36,AO:AP,2,FALSE)))</f>
        <v>0</v>
      </c>
      <c r="AO36">
        <v>30</v>
      </c>
      <c r="AP36" t="s">
        <v>41</v>
      </c>
      <c r="AQ36" s="1"/>
    </row>
    <row r="37" spans="1:43" ht="24.95" customHeight="1">
      <c r="A37" s="32" t="s">
        <v>92</v>
      </c>
      <c r="D37" s="1"/>
      <c r="V37" s="1">
        <f t="shared" si="7"/>
        <v>2020</v>
      </c>
      <c r="W37" s="1">
        <f t="shared" ca="1" si="2"/>
        <v>85.589370727539034</v>
      </c>
      <c r="X37" s="1">
        <f t="shared" ca="1" si="3"/>
        <v>113.83386306762692</v>
      </c>
      <c r="Y37" s="1">
        <f t="shared" ca="1" si="4"/>
        <v>57.344878387451153</v>
      </c>
      <c r="Z37" s="1">
        <f t="shared" ca="1" si="5"/>
        <v>0</v>
      </c>
      <c r="AA37" t="b">
        <f t="shared" ca="1" si="8"/>
        <v>1</v>
      </c>
      <c r="AC37" s="1">
        <f t="shared" ca="1" si="1"/>
        <v>6710.3778437805149</v>
      </c>
      <c r="AD37" s="1">
        <f t="shared" ca="1" si="6"/>
        <v>6710.3778437805149</v>
      </c>
      <c r="AE37" s="1"/>
      <c r="AF37" s="1"/>
      <c r="AG37" s="1"/>
      <c r="AH37" s="1"/>
      <c r="AI37" s="1"/>
      <c r="AJ37">
        <v>37</v>
      </c>
      <c r="AK37">
        <f t="shared" si="0"/>
        <v>40</v>
      </c>
      <c r="AL37">
        <f ca="1">SUMIF('Consolidated tables'!B:B,'Docking 2 example'!$T$10,INDIRECT("'Consolidated tables'!"&amp;VLOOKUP(AJ37,AO:AP,2,FALSE)&amp;":"&amp;VLOOKUP(AJ37,AO:AP,2,FALSE)))</f>
        <v>5.8508090972900398E-2</v>
      </c>
      <c r="AM37" s="1">
        <f ca="1">SUMIF('Consolidated tables'!B:B,'Docking 2 example'!$T$14,INDIRECT("'Consolidated tables'!"&amp;VLOOKUP(AJ37,AO:AP,2,FALSE)&amp;":"&amp;VLOOKUP(AJ37,AO:AP,2,FALSE)))</f>
        <v>4.5871513484573372</v>
      </c>
      <c r="AN37" s="1">
        <f ca="1">SUMIF('Consolidated tables'!B:B,'Docking 2 example'!$T$15,INDIRECT("'Consolidated tables'!"&amp;VLOOKUP(AJ37,AO:AP,2,FALSE)&amp;":"&amp;VLOOKUP(AJ37,AO:AP,2,FALSE)))</f>
        <v>0</v>
      </c>
      <c r="AO37">
        <v>31</v>
      </c>
      <c r="AP37" t="s">
        <v>42</v>
      </c>
      <c r="AQ37" s="1"/>
    </row>
    <row r="38" spans="1:43" ht="24.95" customHeight="1" thickBot="1">
      <c r="D38" s="11"/>
      <c r="V38" s="1">
        <f t="shared" si="7"/>
        <v>2021</v>
      </c>
      <c r="W38" s="1">
        <f t="shared" ca="1" si="2"/>
        <v>78.815528869628963</v>
      </c>
      <c r="X38" s="1">
        <f t="shared" ca="1" si="3"/>
        <v>104.82465339660652</v>
      </c>
      <c r="Y38" s="1">
        <f t="shared" ca="1" si="4"/>
        <v>52.806404342651412</v>
      </c>
      <c r="Z38" s="1">
        <f t="shared" ca="1" si="5"/>
        <v>0</v>
      </c>
      <c r="AA38" t="b">
        <f t="shared" ca="1" si="8"/>
        <v>1</v>
      </c>
      <c r="AC38" s="1">
        <f t="shared" ca="1" si="1"/>
        <v>6179.2950944366485</v>
      </c>
      <c r="AD38" s="1">
        <f t="shared" ca="1" si="6"/>
        <v>6179.2950944366485</v>
      </c>
      <c r="AE38" s="1"/>
      <c r="AF38" s="1"/>
      <c r="AG38" s="1"/>
      <c r="AH38" s="1"/>
      <c r="AI38" s="1"/>
      <c r="AJ38">
        <v>38</v>
      </c>
      <c r="AK38">
        <f t="shared" si="0"/>
        <v>40</v>
      </c>
      <c r="AL38">
        <f ca="1">SUMIF('Consolidated tables'!B:B,'Docking 2 example'!$T$10,INDIRECT("'Consolidated tables'!"&amp;VLOOKUP(AJ38,AO:AP,2,FALSE)&amp;":"&amp;VLOOKUP(AJ38,AO:AP,2,FALSE)))</f>
        <v>5.4026947021484403E-2</v>
      </c>
      <c r="AM38" s="1">
        <f ca="1">SUMIF('Consolidated tables'!B:B,'Docking 2 example'!$T$14,INDIRECT("'Consolidated tables'!"&amp;VLOOKUP(AJ38,AO:AP,2,FALSE)&amp;":"&amp;VLOOKUP(AJ38,AO:AP,2,FALSE)))</f>
        <v>4.2358207003784196</v>
      </c>
      <c r="AN38" s="1">
        <f ca="1">SUMIF('Consolidated tables'!B:B,'Docking 2 example'!$T$15,INDIRECT("'Consolidated tables'!"&amp;VLOOKUP(AJ38,AO:AP,2,FALSE)&amp;":"&amp;VLOOKUP(AJ38,AO:AP,2,FALSE)))</f>
        <v>0</v>
      </c>
      <c r="AO38">
        <v>32</v>
      </c>
      <c r="AP38" t="s">
        <v>43</v>
      </c>
      <c r="AQ38" s="1"/>
    </row>
    <row r="39" spans="1:43" ht="24.95" customHeight="1" thickBot="1">
      <c r="A39" s="37" t="s">
        <v>100</v>
      </c>
      <c r="B39" s="71" t="s">
        <v>5</v>
      </c>
      <c r="C39" s="36"/>
      <c r="D39" s="72">
        <f>D6-D4</f>
        <v>12</v>
      </c>
      <c r="E39" s="36" t="s">
        <v>69</v>
      </c>
      <c r="H39" s="2"/>
      <c r="I39" s="2"/>
      <c r="J39" s="2"/>
      <c r="K39" s="2"/>
      <c r="L39" s="2"/>
      <c r="M39" s="2"/>
      <c r="N39" s="2"/>
      <c r="O39" s="2"/>
      <c r="P39" s="2"/>
      <c r="V39" s="1">
        <f t="shared" si="7"/>
        <v>2022</v>
      </c>
      <c r="W39" s="1">
        <f t="shared" ca="1" si="2"/>
        <v>72.593299865722713</v>
      </c>
      <c r="X39" s="1">
        <f t="shared" ca="1" si="3"/>
        <v>96.549088821411218</v>
      </c>
      <c r="Y39" s="1">
        <f t="shared" ca="1" si="4"/>
        <v>48.637510910034223</v>
      </c>
      <c r="Z39" s="1">
        <f t="shared" ca="1" si="5"/>
        <v>0</v>
      </c>
      <c r="AA39" t="b">
        <f t="shared" ca="1" si="8"/>
        <v>1</v>
      </c>
      <c r="AC39" s="1">
        <f t="shared" ca="1" si="1"/>
        <v>5691.4598960723924</v>
      </c>
      <c r="AD39" s="1">
        <f t="shared" ca="1" si="6"/>
        <v>5691.4598960723924</v>
      </c>
      <c r="AE39" s="1"/>
      <c r="AF39" s="1"/>
      <c r="AG39" s="1"/>
      <c r="AH39" s="1"/>
      <c r="AI39" s="1"/>
      <c r="AJ39">
        <v>39</v>
      </c>
      <c r="AK39">
        <f t="shared" si="0"/>
        <v>40</v>
      </c>
      <c r="AL39">
        <f ca="1">SUMIF('Consolidated tables'!B:B,'Docking 2 example'!$T$10,INDIRECT("'Consolidated tables'!"&amp;VLOOKUP(AJ39,AO:AP,2,FALSE)&amp;":"&amp;VLOOKUP(AJ39,AO:AP,2,FALSE)))</f>
        <v>4.9895577430725202E-2</v>
      </c>
      <c r="AM39" s="1">
        <f ca="1">SUMIF('Consolidated tables'!B:B,'Docking 2 example'!$T$14,INDIRECT("'Consolidated tables'!"&amp;VLOOKUP(AJ39,AO:AP,2,FALSE)&amp;":"&amp;VLOOKUP(AJ39,AO:AP,2,FALSE)))</f>
        <v>3.9119130617237174</v>
      </c>
      <c r="AN39" s="1">
        <f ca="1">SUMIF('Consolidated tables'!B:B,'Docking 2 example'!$T$15,INDIRECT("'Consolidated tables'!"&amp;VLOOKUP(AJ39,AO:AP,2,FALSE)&amp;":"&amp;VLOOKUP(AJ39,AO:AP,2,FALSE)))</f>
        <v>0</v>
      </c>
      <c r="AO39">
        <v>33</v>
      </c>
      <c r="AP39" t="s">
        <v>44</v>
      </c>
      <c r="AQ39" s="1"/>
    </row>
    <row r="40" spans="1:43" ht="24.95" customHeight="1" thickBot="1">
      <c r="A40" s="36"/>
      <c r="B40" s="36"/>
      <c r="C40" s="36"/>
      <c r="D40" s="35"/>
      <c r="E40" s="36"/>
      <c r="H40" s="2"/>
      <c r="I40" s="2"/>
      <c r="J40" s="2"/>
      <c r="K40" s="2"/>
      <c r="L40" s="2"/>
      <c r="M40" s="2"/>
      <c r="N40" s="2"/>
      <c r="O40" s="2"/>
      <c r="P40" s="2"/>
      <c r="V40" s="1">
        <f t="shared" si="7"/>
        <v>2023</v>
      </c>
      <c r="W40" s="1">
        <f t="shared" ca="1" si="2"/>
        <v>66.876190185546875</v>
      </c>
      <c r="X40" s="1">
        <f t="shared" ca="1" si="3"/>
        <v>88.945332946777341</v>
      </c>
      <c r="Y40" s="1">
        <f t="shared" ca="1" si="4"/>
        <v>44.807047424316409</v>
      </c>
      <c r="Z40" s="1">
        <f t="shared" ca="1" si="5"/>
        <v>0</v>
      </c>
      <c r="AA40" t="b">
        <f t="shared" ca="1" si="8"/>
        <v>1</v>
      </c>
      <c r="AC40" s="1">
        <f t="shared" ca="1" si="1"/>
        <v>5243.2270629272471</v>
      </c>
      <c r="AD40" s="1">
        <f t="shared" ca="1" si="6"/>
        <v>5243.2270629272471</v>
      </c>
      <c r="AE40" s="1"/>
      <c r="AF40" s="1"/>
      <c r="AG40" s="1"/>
      <c r="AH40" s="1"/>
      <c r="AI40" s="1"/>
      <c r="AJ40">
        <v>40</v>
      </c>
      <c r="AK40">
        <f t="shared" si="0"/>
        <v>40</v>
      </c>
      <c r="AL40">
        <f ca="1">SUMIF('Consolidated tables'!B:B,'Docking 2 example'!$T$10,INDIRECT("'Consolidated tables'!"&amp;VLOOKUP(AJ40,AO:AP,2,FALSE)&amp;":"&amp;VLOOKUP(AJ40,AO:AP,2,FALSE)))</f>
        <v>4.6085996627807602E-2</v>
      </c>
      <c r="AM40" s="1">
        <f ca="1">SUMIF('Consolidated tables'!B:B,'Docking 2 example'!$T$14,INDIRECT("'Consolidated tables'!"&amp;VLOOKUP(AJ40,AO:AP,2,FALSE)&amp;":"&amp;VLOOKUP(AJ40,AO:AP,2,FALSE)))</f>
        <v>3.6132343076133724</v>
      </c>
      <c r="AN40" s="1">
        <f ca="1">SUMIF('Consolidated tables'!B:B,'Docking 2 example'!$T$15,INDIRECT("'Consolidated tables'!"&amp;VLOOKUP(AJ40,AO:AP,2,FALSE)&amp;":"&amp;VLOOKUP(AJ40,AO:AP,2,FALSE)))</f>
        <v>0</v>
      </c>
      <c r="AO40">
        <v>34</v>
      </c>
      <c r="AP40" t="s">
        <v>45</v>
      </c>
      <c r="AQ40" s="1"/>
    </row>
    <row r="41" spans="1:43" ht="24.95" customHeight="1" thickBot="1">
      <c r="A41" s="37" t="s">
        <v>101</v>
      </c>
      <c r="B41" s="71" t="s">
        <v>73</v>
      </c>
      <c r="C41" s="36"/>
      <c r="D41" s="72">
        <f ca="1">VLOOKUP(D2,V:W,2,FALSE)</f>
        <v>129.70236206054687</v>
      </c>
      <c r="E41" s="36" t="s">
        <v>105</v>
      </c>
      <c r="F41" s="52"/>
      <c r="G41" s="50"/>
      <c r="H41" s="51"/>
      <c r="I41" s="13"/>
      <c r="J41" s="13"/>
      <c r="K41" s="13"/>
      <c r="L41" s="13"/>
      <c r="M41" s="13"/>
      <c r="N41" s="13"/>
      <c r="O41" s="13"/>
      <c r="P41" s="13"/>
      <c r="V41" s="1">
        <f t="shared" si="7"/>
        <v>2024</v>
      </c>
      <c r="W41" s="1">
        <f t="shared" ca="1" si="2"/>
        <v>61.621780395507841</v>
      </c>
      <c r="X41" s="1">
        <f t="shared" ca="1" si="3"/>
        <v>81.956967926025428</v>
      </c>
      <c r="Y41" s="1">
        <f t="shared" ca="1" si="4"/>
        <v>41.286592864990254</v>
      </c>
      <c r="Z41" s="1">
        <f t="shared" ca="1" si="5"/>
        <v>0</v>
      </c>
      <c r="AA41" t="b">
        <f t="shared" ca="1" si="8"/>
        <v>1</v>
      </c>
      <c r="AC41" s="1">
        <f t="shared" ca="1" si="1"/>
        <v>4831.270826568606</v>
      </c>
      <c r="AD41" s="1">
        <f t="shared" ca="1" si="6"/>
        <v>4831.270826568606</v>
      </c>
      <c r="AE41" s="1"/>
      <c r="AF41" s="1"/>
      <c r="AG41" s="1"/>
      <c r="AH41" s="1"/>
      <c r="AI41" s="1"/>
      <c r="AJ41">
        <v>41</v>
      </c>
      <c r="AK41">
        <f t="shared" si="0"/>
        <v>45</v>
      </c>
      <c r="AL41">
        <f ca="1">SUMIF('Consolidated tables'!B:B,'Docking 2 example'!$T$10,INDIRECT("'Consolidated tables'!"&amp;VLOOKUP(AJ41,AO:AP,2,FALSE)&amp;":"&amp;VLOOKUP(AJ41,AO:AP,2,FALSE)))</f>
        <v>4.2572522163391205E-2</v>
      </c>
      <c r="AM41" s="1">
        <f ca="1">SUMIF('Consolidated tables'!B:B,'Docking 2 example'!$T$14,INDIRECT("'Consolidated tables'!"&amp;VLOOKUP(AJ41,AO:AP,2,FALSE)&amp;":"&amp;VLOOKUP(AJ41,AO:AP,2,FALSE)))</f>
        <v>3.3377708826541972</v>
      </c>
      <c r="AN41" s="1">
        <f ca="1">SUMIF('Consolidated tables'!B:B,'Docking 2 example'!$T$15,INDIRECT("'Consolidated tables'!"&amp;VLOOKUP(AJ41,AO:AP,2,FALSE)&amp;":"&amp;VLOOKUP(AJ41,AO:AP,2,FALSE)))</f>
        <v>0</v>
      </c>
      <c r="AO41">
        <v>35</v>
      </c>
      <c r="AP41" t="s">
        <v>46</v>
      </c>
      <c r="AQ41" s="1"/>
    </row>
    <row r="42" spans="1:43" s="20" customFormat="1" ht="24.95" customHeight="1">
      <c r="A42" s="45"/>
      <c r="B42" s="46"/>
      <c r="D42" s="47"/>
      <c r="F42" s="48"/>
      <c r="H42" s="49"/>
      <c r="I42" s="49"/>
      <c r="J42" s="49"/>
      <c r="K42" s="49"/>
      <c r="L42" s="49"/>
      <c r="M42" s="49"/>
      <c r="N42" s="49"/>
      <c r="O42" s="49"/>
      <c r="P42" s="49"/>
      <c r="V42" s="1">
        <f t="shared" si="7"/>
        <v>2025</v>
      </c>
      <c r="W42" s="1">
        <f t="shared" ca="1" si="2"/>
        <v>56.79135894775392</v>
      </c>
      <c r="X42" s="1">
        <f t="shared" ca="1" si="3"/>
        <v>75.532507400512714</v>
      </c>
      <c r="Y42" s="1">
        <f t="shared" ca="1" si="4"/>
        <v>38.050210494995127</v>
      </c>
      <c r="Z42" s="1">
        <f t="shared" ca="1" si="5"/>
        <v>0</v>
      </c>
      <c r="AA42" t="b">
        <f t="shared" ca="1" si="8"/>
        <v>1</v>
      </c>
      <c r="AB42"/>
      <c r="AC42" s="1">
        <f t="shared" ca="1" si="1"/>
        <v>4452.5561242218027</v>
      </c>
      <c r="AD42" s="1">
        <f t="shared" ca="1" si="6"/>
        <v>4452.5561242218027</v>
      </c>
      <c r="AE42" s="1"/>
      <c r="AF42" s="1"/>
      <c r="AG42" s="1"/>
      <c r="AH42" s="1"/>
      <c r="AI42" s="1"/>
      <c r="AJ42">
        <v>42</v>
      </c>
      <c r="AK42">
        <f t="shared" si="0"/>
        <v>45</v>
      </c>
      <c r="AL42">
        <f ca="1">SUMIF('Consolidated tables'!B:B,'Docking 2 example'!$T$10,INDIRECT("'Consolidated tables'!"&amp;VLOOKUP(AJ42,AO:AP,2,FALSE)&amp;":"&amp;VLOOKUP(AJ42,AO:AP,2,FALSE)))</f>
        <v>3.9331591129302963E-2</v>
      </c>
      <c r="AM42" s="1">
        <f ca="1">SUMIF('Consolidated tables'!B:B,'Docking 2 example'!$T$14,INDIRECT("'Consolidated tables'!"&amp;VLOOKUP(AJ42,AO:AP,2,FALSE)&amp;":"&amp;VLOOKUP(AJ42,AO:AP,2,FALSE)))</f>
        <v>3.0836754077196113</v>
      </c>
      <c r="AN42" s="1">
        <f ca="1">SUMIF('Consolidated tables'!B:B,'Docking 2 example'!$T$15,INDIRECT("'Consolidated tables'!"&amp;VLOOKUP(AJ42,AO:AP,2,FALSE)&amp;":"&amp;VLOOKUP(AJ42,AO:AP,2,FALSE)))</f>
        <v>0</v>
      </c>
      <c r="AO42">
        <v>36</v>
      </c>
      <c r="AP42" t="s">
        <v>47</v>
      </c>
      <c r="AQ42" s="12"/>
    </row>
    <row r="43" spans="1:43" s="20" customFormat="1" ht="24.95" customHeight="1">
      <c r="A43" s="32" t="s">
        <v>93</v>
      </c>
      <c r="B43" s="14"/>
      <c r="C43"/>
      <c r="D43" s="14"/>
      <c r="E43" s="14"/>
      <c r="F43" s="14"/>
      <c r="G43"/>
      <c r="H43" s="13"/>
      <c r="I43" s="49"/>
      <c r="J43" s="49"/>
      <c r="K43" s="49"/>
      <c r="L43" s="49"/>
      <c r="M43" s="49"/>
      <c r="N43" s="49"/>
      <c r="O43" s="49"/>
      <c r="P43" s="49"/>
      <c r="V43" s="1">
        <f t="shared" si="7"/>
        <v>2026</v>
      </c>
      <c r="W43" s="1">
        <f t="shared" ca="1" si="2"/>
        <v>52.349571228027358</v>
      </c>
      <c r="X43" s="1">
        <f t="shared" ca="1" si="3"/>
        <v>69.624929733276389</v>
      </c>
      <c r="Y43" s="1">
        <f t="shared" ca="1" si="4"/>
        <v>35.074212722778334</v>
      </c>
      <c r="Z43" s="1">
        <f t="shared" ca="1" si="5"/>
        <v>0</v>
      </c>
      <c r="AA43" t="b">
        <f t="shared" ca="1" si="8"/>
        <v>1</v>
      </c>
      <c r="AB43"/>
      <c r="AC43" s="1">
        <f t="shared" ca="1" si="1"/>
        <v>4104.3110834198014</v>
      </c>
      <c r="AD43" s="1">
        <f t="shared" ca="1" si="6"/>
        <v>4104.3110834198014</v>
      </c>
      <c r="AE43" s="1"/>
      <c r="AF43" s="1"/>
      <c r="AG43" s="1"/>
      <c r="AH43" s="1"/>
      <c r="AI43" s="1"/>
      <c r="AJ43">
        <v>43</v>
      </c>
      <c r="AK43">
        <f t="shared" si="0"/>
        <v>45</v>
      </c>
      <c r="AL43">
        <f ca="1">SUMIF('Consolidated tables'!B:B,'Docking 2 example'!$T$10,INDIRECT("'Consolidated tables'!"&amp;VLOOKUP(AJ43,AO:AP,2,FALSE)&amp;":"&amp;VLOOKUP(AJ43,AO:AP,2,FALSE)))</f>
        <v>3.6341567039489757E-2</v>
      </c>
      <c r="AM43" s="1">
        <f ca="1">SUMIF('Consolidated tables'!B:B,'Docking 2 example'!$T$14,INDIRECT("'Consolidated tables'!"&amp;VLOOKUP(AJ43,AO:AP,2,FALSE)&amp;":"&amp;VLOOKUP(AJ43,AO:AP,2,FALSE)))</f>
        <v>2.8492515390300759</v>
      </c>
      <c r="AN43" s="1">
        <f ca="1">SUMIF('Consolidated tables'!B:B,'Docking 2 example'!$T$15,INDIRECT("'Consolidated tables'!"&amp;VLOOKUP(AJ43,AO:AP,2,FALSE)&amp;":"&amp;VLOOKUP(AJ43,AO:AP,2,FALSE)))</f>
        <v>0</v>
      </c>
      <c r="AO43">
        <v>37</v>
      </c>
      <c r="AP43" t="s">
        <v>48</v>
      </c>
      <c r="AQ43" s="12"/>
    </row>
    <row r="44" spans="1:43" ht="24.95" customHeight="1" thickBot="1">
      <c r="A44" s="38"/>
      <c r="D44" s="11"/>
      <c r="H44" s="2"/>
      <c r="I44" s="2"/>
      <c r="J44" s="2"/>
      <c r="K44" s="2"/>
      <c r="L44" s="2"/>
      <c r="M44" s="2"/>
      <c r="N44" s="2"/>
      <c r="O44" s="2"/>
      <c r="P44" s="2"/>
      <c r="V44" s="1">
        <f t="shared" si="7"/>
        <v>2027</v>
      </c>
      <c r="W44" s="1">
        <f t="shared" ca="1" si="2"/>
        <v>48.264129638671839</v>
      </c>
      <c r="X44" s="1">
        <f t="shared" ca="1" si="3"/>
        <v>64.191292419433552</v>
      </c>
      <c r="Y44" s="1">
        <f t="shared" ca="1" si="4"/>
        <v>32.336966857910134</v>
      </c>
      <c r="Z44" s="1">
        <f t="shared" ca="1" si="5"/>
        <v>0</v>
      </c>
      <c r="AA44" t="b">
        <f t="shared" ca="1" si="8"/>
        <v>1</v>
      </c>
      <c r="AC44" s="1">
        <f t="shared" ca="1" si="1"/>
        <v>3784.0042919311495</v>
      </c>
      <c r="AD44" s="1">
        <f t="shared" ca="1" si="6"/>
        <v>3784.0042919311495</v>
      </c>
      <c r="AE44" s="1"/>
      <c r="AF44" s="1"/>
      <c r="AG44" s="1"/>
      <c r="AH44" s="1"/>
      <c r="AI44" s="1"/>
      <c r="AJ44">
        <v>44</v>
      </c>
      <c r="AK44">
        <f t="shared" si="0"/>
        <v>45</v>
      </c>
      <c r="AL44">
        <f ca="1">SUMIF('Consolidated tables'!B:B,'Docking 2 example'!$T$10,INDIRECT("'Consolidated tables'!"&amp;VLOOKUP(AJ44,AO:AP,2,FALSE)&amp;":"&amp;VLOOKUP(AJ44,AO:AP,2,FALSE)))</f>
        <v>3.3582587242126476E-2</v>
      </c>
      <c r="AM44" s="1">
        <f ca="1">SUMIF('Consolidated tables'!B:B,'Docking 2 example'!$T$14,INDIRECT("'Consolidated tables'!"&amp;VLOOKUP(AJ44,AO:AP,2,FALSE)&amp;":"&amp;VLOOKUP(AJ44,AO:AP,2,FALSE)))</f>
        <v>2.6329420049571999</v>
      </c>
      <c r="AN44" s="1">
        <f ca="1">SUMIF('Consolidated tables'!B:B,'Docking 2 example'!$T$15,INDIRECT("'Consolidated tables'!"&amp;VLOOKUP(AJ44,AO:AP,2,FALSE)&amp;":"&amp;VLOOKUP(AJ44,AO:AP,2,FALSE)))</f>
        <v>0</v>
      </c>
      <c r="AO44">
        <v>38</v>
      </c>
      <c r="AP44" t="s">
        <v>49</v>
      </c>
      <c r="AQ44" s="1"/>
    </row>
    <row r="45" spans="1:43" ht="24.95" customHeight="1" thickBot="1">
      <c r="A45" s="37" t="s">
        <v>102</v>
      </c>
      <c r="B45" s="71" t="s">
        <v>106</v>
      </c>
      <c r="C45" s="36"/>
      <c r="D45" s="73">
        <f ca="1">VLOOKUP(D2,V$2:AI$1048576,8,FALSE)</f>
        <v>10168.924590270995</v>
      </c>
      <c r="E45" s="36" t="s">
        <v>103</v>
      </c>
      <c r="H45" s="2"/>
      <c r="I45" s="2"/>
      <c r="J45" s="2"/>
      <c r="K45" s="2"/>
      <c r="L45" s="2"/>
      <c r="M45" s="2"/>
      <c r="N45" s="2"/>
      <c r="O45" s="2"/>
      <c r="P45" s="2"/>
      <c r="V45" s="1">
        <f t="shared" si="7"/>
        <v>2028</v>
      </c>
      <c r="W45" s="1">
        <f t="shared" ca="1" si="2"/>
        <v>44.505527496337919</v>
      </c>
      <c r="X45" s="1">
        <f t="shared" ca="1" si="3"/>
        <v>59.192351570129432</v>
      </c>
      <c r="Y45" s="1">
        <f t="shared" ca="1" si="4"/>
        <v>29.818703422546406</v>
      </c>
      <c r="Z45" s="1">
        <f t="shared" ca="1" si="5"/>
        <v>0</v>
      </c>
      <c r="AA45" t="b">
        <f t="shared" ca="1" si="8"/>
        <v>1</v>
      </c>
      <c r="AC45" s="1">
        <f t="shared" ca="1" si="1"/>
        <v>3489.3223667678863</v>
      </c>
      <c r="AD45" s="1">
        <f t="shared" ca="1" si="6"/>
        <v>3489.3223667678863</v>
      </c>
      <c r="AE45" s="1"/>
      <c r="AF45" s="1"/>
      <c r="AG45" s="1"/>
      <c r="AH45" s="1"/>
      <c r="AI45" s="1"/>
      <c r="AJ45">
        <v>45</v>
      </c>
      <c r="AK45">
        <f t="shared" si="0"/>
        <v>45</v>
      </c>
      <c r="AL45">
        <f ca="1">SUMIF('Consolidated tables'!B:B,'Docking 2 example'!$T$10,INDIRECT("'Consolidated tables'!"&amp;VLOOKUP(AJ45,AO:AP,2,FALSE)&amp;":"&amp;VLOOKUP(AJ45,AO:AP,2,FALSE)))</f>
        <v>3.1036403179168719E-2</v>
      </c>
      <c r="AM45" s="1">
        <f ca="1">SUMIF('Consolidated tables'!B:B,'Docking 2 example'!$T$14,INDIRECT("'Consolidated tables'!"&amp;VLOOKUP(AJ45,AO:AP,2,FALSE)&amp;":"&amp;VLOOKUP(AJ45,AO:AP,2,FALSE)))</f>
        <v>2.4333160820531856</v>
      </c>
      <c r="AN45" s="1">
        <f ca="1">SUMIF('Consolidated tables'!B:B,'Docking 2 example'!$T$15,INDIRECT("'Consolidated tables'!"&amp;VLOOKUP(AJ45,AO:AP,2,FALSE)&amp;":"&amp;VLOOKUP(AJ45,AO:AP,2,FALSE)))</f>
        <v>0</v>
      </c>
      <c r="AO45">
        <v>39</v>
      </c>
      <c r="AP45" t="s">
        <v>50</v>
      </c>
      <c r="AQ45" s="1"/>
    </row>
    <row r="46" spans="1:43" ht="24.95" customHeight="1" thickBot="1">
      <c r="A46" s="36"/>
      <c r="B46" s="37"/>
      <c r="C46" s="36"/>
      <c r="D46" s="74"/>
      <c r="E46" s="36"/>
      <c r="H46" s="2"/>
      <c r="I46" s="2"/>
      <c r="J46" s="2"/>
      <c r="K46" s="2"/>
      <c r="L46" s="2"/>
      <c r="M46" s="2"/>
      <c r="N46" s="2"/>
      <c r="O46" s="2"/>
      <c r="P46" s="2"/>
      <c r="V46" s="1">
        <f t="shared" si="7"/>
        <v>2029</v>
      </c>
      <c r="W46" s="1">
        <f t="shared" ca="1" si="2"/>
        <v>41.046794891357443</v>
      </c>
      <c r="X46" s="1">
        <f t="shared" ca="1" si="3"/>
        <v>54.592237205505405</v>
      </c>
      <c r="Y46" s="1">
        <f t="shared" ca="1" si="4"/>
        <v>27.501352577209488</v>
      </c>
      <c r="Z46" s="1">
        <f t="shared" ca="1" si="5"/>
        <v>0</v>
      </c>
      <c r="AA46" t="b">
        <f t="shared" ca="1" si="8"/>
        <v>1</v>
      </c>
      <c r="AC46" s="1">
        <f t="shared" ca="1" si="1"/>
        <v>3218.1508130722059</v>
      </c>
      <c r="AD46" s="1">
        <f t="shared" ca="1" si="6"/>
        <v>3218.1508130722059</v>
      </c>
      <c r="AE46" s="1"/>
      <c r="AF46" s="1"/>
      <c r="AG46" s="1"/>
      <c r="AH46" s="1"/>
      <c r="AI46" s="1"/>
      <c r="AJ46">
        <v>46</v>
      </c>
      <c r="AK46">
        <f t="shared" si="0"/>
        <v>50</v>
      </c>
      <c r="AL46">
        <f ca="1">SUMIF('Consolidated tables'!B:B,'Docking 2 example'!$T$10,INDIRECT("'Consolidated tables'!"&amp;VLOOKUP(AJ46,AO:AP,2,FALSE)&amp;":"&amp;VLOOKUP(AJ46,AO:AP,2,FALSE)))</f>
        <v>2.8686249256134042E-2</v>
      </c>
      <c r="AM46" s="1">
        <f ca="1">SUMIF('Consolidated tables'!B:B,'Docking 2 example'!$T$14,INDIRECT("'Consolidated tables'!"&amp;VLOOKUP(AJ46,AO:AP,2,FALSE)&amp;":"&amp;VLOOKUP(AJ46,AO:AP,2,FALSE)))</f>
        <v>2.2490593141794211</v>
      </c>
      <c r="AN46" s="1">
        <f ca="1">SUMIF('Consolidated tables'!B:B,'Docking 2 example'!$T$15,INDIRECT("'Consolidated tables'!"&amp;VLOOKUP(AJ46,AO:AP,2,FALSE)&amp;":"&amp;VLOOKUP(AJ46,AO:AP,2,FALSE)))</f>
        <v>0</v>
      </c>
      <c r="AO46">
        <v>40</v>
      </c>
      <c r="AP46" t="s">
        <v>51</v>
      </c>
      <c r="AQ46" s="1"/>
    </row>
    <row r="47" spans="1:43" ht="24.75" customHeight="1" thickTop="1" thickBot="1">
      <c r="A47" s="37" t="s">
        <v>104</v>
      </c>
      <c r="B47" s="75" t="s">
        <v>91</v>
      </c>
      <c r="C47" s="76">
        <f>D6+49</f>
        <v>2049</v>
      </c>
      <c r="D47" s="77">
        <f ca="1">SUM(AD17:AD66)</f>
        <v>121887.37497547534</v>
      </c>
      <c r="E47" s="36" t="s">
        <v>103</v>
      </c>
      <c r="V47" s="1">
        <f t="shared" si="7"/>
        <v>2030</v>
      </c>
      <c r="W47" s="1">
        <f t="shared" ca="1" si="2"/>
        <v>37.86327362060544</v>
      </c>
      <c r="X47" s="1">
        <f t="shared" ca="1" si="3"/>
        <v>50.358153915405239</v>
      </c>
      <c r="Y47" s="1">
        <f t="shared" ca="1" si="4"/>
        <v>25.368393325805645</v>
      </c>
      <c r="Z47" s="1">
        <f t="shared" ca="1" si="5"/>
        <v>0</v>
      </c>
      <c r="AA47" t="b">
        <f t="shared" ca="1" si="8"/>
        <v>1</v>
      </c>
      <c r="AC47" s="1">
        <f t="shared" ca="1" si="1"/>
        <v>2968.5563784027081</v>
      </c>
      <c r="AD47" s="1">
        <f t="shared" ca="1" si="6"/>
        <v>2968.5563784027081</v>
      </c>
      <c r="AE47" s="1"/>
      <c r="AF47" s="1"/>
      <c r="AG47" s="1"/>
      <c r="AH47" s="1"/>
      <c r="AI47" s="1"/>
      <c r="AJ47">
        <v>47</v>
      </c>
      <c r="AK47">
        <f t="shared" si="0"/>
        <v>50</v>
      </c>
      <c r="AL47">
        <f ca="1">SUMIF('Consolidated tables'!B:B,'Docking 2 example'!$T$10,INDIRECT("'Consolidated tables'!"&amp;VLOOKUP(AJ47,AO:AP,2,FALSE)&amp;":"&amp;VLOOKUP(AJ47,AO:AP,2,FALSE)))</f>
        <v>2.6516718864440916E-2</v>
      </c>
      <c r="AM47" s="1">
        <f ca="1">SUMIF('Consolidated tables'!B:B,'Docking 2 example'!$T$14,INDIRECT("'Consolidated tables'!"&amp;VLOOKUP(AJ47,AO:AP,2,FALSE)&amp;":"&amp;VLOOKUP(AJ47,AO:AP,2,FALSE)))</f>
        <v>2.0789637924098967</v>
      </c>
      <c r="AN47" s="1">
        <f ca="1">SUMIF('Consolidated tables'!B:B,'Docking 2 example'!$T$15,INDIRECT("'Consolidated tables'!"&amp;VLOOKUP(AJ47,AO:AP,2,FALSE)&amp;":"&amp;VLOOKUP(AJ47,AO:AP,2,FALSE)))</f>
        <v>0</v>
      </c>
      <c r="AO47">
        <v>41</v>
      </c>
      <c r="AP47" t="s">
        <v>52</v>
      </c>
      <c r="AQ47" s="1"/>
    </row>
    <row r="48" spans="1:43">
      <c r="V48" s="1">
        <f t="shared" si="7"/>
        <v>2031</v>
      </c>
      <c r="W48" s="1">
        <f t="shared" ca="1" si="2"/>
        <v>34.932399749755838</v>
      </c>
      <c r="X48" s="1">
        <f t="shared" ca="1" si="3"/>
        <v>46.46009166717527</v>
      </c>
      <c r="Y48" s="1">
        <f t="shared" ca="1" si="4"/>
        <v>23.404707832336413</v>
      </c>
      <c r="Z48" s="1">
        <f t="shared" ca="1" si="5"/>
        <v>0</v>
      </c>
      <c r="AA48" t="b">
        <f t="shared" ca="1" si="8"/>
        <v>1</v>
      </c>
      <c r="AC48" s="1">
        <f t="shared" ca="1" si="1"/>
        <v>2738.7700051803572</v>
      </c>
      <c r="AD48" s="1">
        <f t="shared" ca="1" si="6"/>
        <v>2738.7700051803572</v>
      </c>
      <c r="AE48" s="1"/>
      <c r="AF48" s="1"/>
      <c r="AG48" s="1"/>
      <c r="AH48" s="1"/>
      <c r="AI48" s="1"/>
      <c r="AJ48">
        <v>48</v>
      </c>
      <c r="AK48">
        <f t="shared" si="0"/>
        <v>50</v>
      </c>
      <c r="AL48">
        <f ca="1">SUMIF('Consolidated tables'!B:B,'Docking 2 example'!$T$10,INDIRECT("'Consolidated tables'!"&amp;VLOOKUP(AJ48,AO:AP,2,FALSE)&amp;":"&amp;VLOOKUP(AJ48,AO:AP,2,FALSE)))</f>
        <v>2.451364517211916E-2</v>
      </c>
      <c r="AM48" s="1">
        <f ca="1">SUMIF('Consolidated tables'!B:B,'Docking 2 example'!$T$14,INDIRECT("'Consolidated tables'!"&amp;VLOOKUP(AJ48,AO:AP,2,FALSE)&amp;":"&amp;VLOOKUP(AJ48,AO:AP,2,FALSE)))</f>
        <v>1.9219188087844865</v>
      </c>
      <c r="AN48" s="1">
        <f ca="1">SUMIF('Consolidated tables'!B:B,'Docking 2 example'!$T$15,INDIRECT("'Consolidated tables'!"&amp;VLOOKUP(AJ48,AO:AP,2,FALSE)&amp;":"&amp;VLOOKUP(AJ48,AO:AP,2,FALSE)))</f>
        <v>0</v>
      </c>
      <c r="AO48">
        <v>42</v>
      </c>
      <c r="AP48" t="s">
        <v>53</v>
      </c>
      <c r="AQ48" s="1"/>
    </row>
    <row r="49" spans="4:43">
      <c r="V49" s="1">
        <f t="shared" si="7"/>
        <v>2032</v>
      </c>
      <c r="W49" s="1">
        <f t="shared" ca="1" si="2"/>
        <v>32.233531951904318</v>
      </c>
      <c r="X49" s="1">
        <f t="shared" ca="1" si="3"/>
        <v>42.870597496032744</v>
      </c>
      <c r="Y49" s="1">
        <f t="shared" ca="1" si="4"/>
        <v>21.596466407775896</v>
      </c>
      <c r="Z49" s="1">
        <f t="shared" ca="1" si="5"/>
        <v>0</v>
      </c>
      <c r="AA49" t="b">
        <f t="shared" ca="1" si="8"/>
        <v>1</v>
      </c>
      <c r="AC49" s="1">
        <f t="shared" ca="1" si="1"/>
        <v>2527.1733720932025</v>
      </c>
      <c r="AD49" s="1">
        <f t="shared" ca="1" si="6"/>
        <v>2527.1733720932025</v>
      </c>
      <c r="AE49" s="1"/>
      <c r="AF49" s="1"/>
      <c r="AG49" s="1"/>
      <c r="AH49" s="1"/>
      <c r="AI49" s="1"/>
      <c r="AJ49">
        <v>49</v>
      </c>
      <c r="AK49">
        <f t="shared" si="0"/>
        <v>50</v>
      </c>
      <c r="AL49">
        <f ca="1">SUMIF('Consolidated tables'!B:B,'Docking 2 example'!$T$10,INDIRECT("'Consolidated tables'!"&amp;VLOOKUP(AJ49,AO:AP,2,FALSE)&amp;":"&amp;VLOOKUP(AJ49,AO:AP,2,FALSE)))</f>
        <v>2.2664010524749759E-2</v>
      </c>
      <c r="AM49" s="1">
        <f ca="1">SUMIF('Consolidated tables'!B:B,'Docking 2 example'!$T$14,INDIRECT("'Consolidated tables'!"&amp;VLOOKUP(AJ49,AO:AP,2,FALSE)&amp;":"&amp;VLOOKUP(AJ49,AO:AP,2,FALSE)))</f>
        <v>1.7769037531614307</v>
      </c>
      <c r="AN49" s="1">
        <f ca="1">SUMIF('Consolidated tables'!B:B,'Docking 2 example'!$T$15,INDIRECT("'Consolidated tables'!"&amp;VLOOKUP(AJ49,AO:AP,2,FALSE)&amp;":"&amp;VLOOKUP(AJ49,AO:AP,2,FALSE)))</f>
        <v>0</v>
      </c>
      <c r="AO49">
        <v>43</v>
      </c>
      <c r="AP49" t="s">
        <v>54</v>
      </c>
      <c r="AQ49" s="1"/>
    </row>
    <row r="50" spans="4:43">
      <c r="V50" s="1">
        <f t="shared" si="7"/>
        <v>2033</v>
      </c>
      <c r="W50" s="1">
        <f t="shared" ca="1" si="2"/>
        <v>29.747770309448317</v>
      </c>
      <c r="X50" s="1">
        <f t="shared" ca="1" si="3"/>
        <v>39.564534511566265</v>
      </c>
      <c r="Y50" s="1">
        <f t="shared" ca="1" si="4"/>
        <v>19.931006107330372</v>
      </c>
      <c r="Z50" s="1">
        <f t="shared" ca="1" si="5"/>
        <v>0</v>
      </c>
      <c r="AA50" t="b">
        <f t="shared" ca="1" si="8"/>
        <v>1</v>
      </c>
      <c r="AC50" s="1">
        <f t="shared" ca="1" si="1"/>
        <v>2332.284687801367</v>
      </c>
      <c r="AD50" s="1">
        <f t="shared" ca="1" si="6"/>
        <v>2332.284687801367</v>
      </c>
      <c r="AE50" s="1"/>
      <c r="AF50" s="1"/>
      <c r="AG50" s="1"/>
      <c r="AH50" s="1"/>
      <c r="AI50" s="1"/>
      <c r="AJ50">
        <v>50</v>
      </c>
      <c r="AK50">
        <f t="shared" si="0"/>
        <v>50</v>
      </c>
      <c r="AL50">
        <f ca="1">SUMIF('Consolidated tables'!B:B,'Docking 2 example'!$T$10,INDIRECT("'Consolidated tables'!"&amp;VLOOKUP(AJ50,AO:AP,2,FALSE)&amp;":"&amp;VLOOKUP(AJ50,AO:AP,2,FALSE)))</f>
        <v>2.095582962036132E-2</v>
      </c>
      <c r="AM50" s="1">
        <f ca="1">SUMIF('Consolidated tables'!B:B,'Docking 2 example'!$T$14,INDIRECT("'Consolidated tables'!"&amp;VLOOKUP(AJ50,AO:AP,2,FALSE)&amp;":"&amp;VLOOKUP(AJ50,AO:AP,2,FALSE)))</f>
        <v>1.6429789538955681</v>
      </c>
      <c r="AN50" s="1">
        <f ca="1">SUMIF('Consolidated tables'!B:B,'Docking 2 example'!$T$15,INDIRECT("'Consolidated tables'!"&amp;VLOOKUP(AJ50,AO:AP,2,FALSE)&amp;":"&amp;VLOOKUP(AJ50,AO:AP,2,FALSE)))</f>
        <v>0</v>
      </c>
      <c r="AO50">
        <v>44</v>
      </c>
      <c r="AP50" t="s">
        <v>55</v>
      </c>
      <c r="AQ50" s="1"/>
    </row>
    <row r="51" spans="4:43">
      <c r="V51" s="1">
        <f t="shared" si="7"/>
        <v>2034</v>
      </c>
      <c r="W51" s="1">
        <f t="shared" ca="1" si="2"/>
        <v>27.457813262939524</v>
      </c>
      <c r="X51" s="1">
        <f t="shared" ca="1" si="3"/>
        <v>36.518891639709572</v>
      </c>
      <c r="Y51" s="1">
        <f t="shared" ca="1" si="4"/>
        <v>18.396734886169483</v>
      </c>
      <c r="Z51" s="1">
        <f t="shared" ca="1" si="5"/>
        <v>0</v>
      </c>
      <c r="AA51" t="b">
        <f t="shared" ca="1" si="8"/>
        <v>1</v>
      </c>
      <c r="AC51" s="1">
        <f t="shared" ca="1" si="1"/>
        <v>2152.7474754409845</v>
      </c>
      <c r="AD51" s="1">
        <f t="shared" ca="1" si="6"/>
        <v>2152.7474754409845</v>
      </c>
      <c r="AE51" s="1"/>
      <c r="AF51" s="1"/>
      <c r="AG51" s="1"/>
      <c r="AH51" s="1"/>
      <c r="AI51" s="1"/>
      <c r="AM51" s="1"/>
      <c r="AN51" s="1"/>
      <c r="AO51">
        <v>45</v>
      </c>
      <c r="AP51" t="s">
        <v>56</v>
      </c>
      <c r="AQ51" s="1"/>
    </row>
    <row r="52" spans="4:43">
      <c r="V52" s="1">
        <f t="shared" si="7"/>
        <v>2035</v>
      </c>
      <c r="W52" s="1">
        <f t="shared" ca="1" si="2"/>
        <v>25.347810745239201</v>
      </c>
      <c r="X52" s="1">
        <f t="shared" ca="1" si="3"/>
        <v>33.712588291168139</v>
      </c>
      <c r="Y52" s="1">
        <f t="shared" ca="1" si="4"/>
        <v>16.983033199310267</v>
      </c>
      <c r="Z52" s="1">
        <f t="shared" ca="1" si="5"/>
        <v>0</v>
      </c>
      <c r="AA52" t="b">
        <f t="shared" ca="1" si="8"/>
        <v>1</v>
      </c>
      <c r="AC52" s="1">
        <f t="shared" ca="1" si="1"/>
        <v>1987.319058048244</v>
      </c>
      <c r="AD52" s="1">
        <f t="shared" ca="1" si="6"/>
        <v>1987.319058048244</v>
      </c>
      <c r="AE52" s="1"/>
      <c r="AF52" s="1"/>
      <c r="AG52" s="1"/>
      <c r="AH52" s="1"/>
      <c r="AI52" s="1"/>
      <c r="AM52" s="1"/>
      <c r="AN52" s="1"/>
      <c r="AO52">
        <v>46</v>
      </c>
      <c r="AP52" t="s">
        <v>57</v>
      </c>
      <c r="AQ52" s="1"/>
    </row>
    <row r="53" spans="4:43">
      <c r="V53" s="1">
        <f t="shared" si="7"/>
        <v>2036</v>
      </c>
      <c r="W53" s="1">
        <f t="shared" ca="1" si="2"/>
        <v>23.40323638916016</v>
      </c>
      <c r="X53" s="1">
        <f t="shared" ca="1" si="3"/>
        <v>31.126304397583013</v>
      </c>
      <c r="Y53" s="1">
        <f t="shared" ca="1" si="4"/>
        <v>15.680168380737308</v>
      </c>
      <c r="Z53" s="1">
        <f t="shared" ca="1" si="5"/>
        <v>0</v>
      </c>
      <c r="AA53" t="b">
        <f t="shared" ca="1" si="8"/>
        <v>1</v>
      </c>
      <c r="AC53" s="1">
        <f t="shared" ca="1" si="1"/>
        <v>1834.8605393829348</v>
      </c>
      <c r="AD53" s="1">
        <f t="shared" ca="1" si="6"/>
        <v>1834.8605393829348</v>
      </c>
      <c r="AE53" s="1"/>
      <c r="AF53" s="1"/>
      <c r="AG53" s="1"/>
      <c r="AH53" s="1"/>
      <c r="AI53" s="1"/>
      <c r="AM53" s="1"/>
      <c r="AN53" s="1"/>
      <c r="AO53">
        <v>47</v>
      </c>
      <c r="AP53" t="s">
        <v>63</v>
      </c>
    </row>
    <row r="54" spans="4:43">
      <c r="D54" s="53"/>
      <c r="V54" s="1">
        <f t="shared" si="7"/>
        <v>2037</v>
      </c>
      <c r="W54" s="1">
        <f t="shared" ca="1" si="2"/>
        <v>21.610778808593761</v>
      </c>
      <c r="X54" s="1">
        <f t="shared" ca="1" si="3"/>
        <v>28.742335815429705</v>
      </c>
      <c r="Y54" s="1">
        <f t="shared" ca="1" si="4"/>
        <v>14.47922180175782</v>
      </c>
      <c r="Z54" s="1">
        <f t="shared" ca="1" si="5"/>
        <v>0</v>
      </c>
      <c r="AA54" t="b">
        <f t="shared" ca="1" si="8"/>
        <v>1</v>
      </c>
      <c r="AC54" s="1">
        <f t="shared" ca="1" si="1"/>
        <v>1694.3282801513678</v>
      </c>
      <c r="AD54" s="1">
        <f t="shared" ca="1" si="6"/>
        <v>1694.3282801513678</v>
      </c>
      <c r="AE54" s="1"/>
      <c r="AF54" s="1"/>
      <c r="AG54" s="1"/>
      <c r="AH54" s="1"/>
      <c r="AI54" s="1"/>
      <c r="AM54" s="1"/>
      <c r="AN54" s="1"/>
      <c r="AO54">
        <v>48</v>
      </c>
      <c r="AP54" t="s">
        <v>64</v>
      </c>
    </row>
    <row r="55" spans="4:43">
      <c r="V55" s="1">
        <f t="shared" si="7"/>
        <v>2038</v>
      </c>
      <c r="W55" s="1">
        <f t="shared" ca="1" si="2"/>
        <v>19.958230972290082</v>
      </c>
      <c r="X55" s="1">
        <f t="shared" ca="1" si="3"/>
        <v>26.54444719314581</v>
      </c>
      <c r="Y55" s="1">
        <f t="shared" ca="1" si="4"/>
        <v>13.372014751434355</v>
      </c>
      <c r="Z55" s="1">
        <f t="shared" ca="1" si="5"/>
        <v>0</v>
      </c>
      <c r="AA55" t="b">
        <f t="shared" ca="1" si="8"/>
        <v>1</v>
      </c>
      <c r="AC55" s="1">
        <f t="shared" ca="1" si="1"/>
        <v>1564.765224689487</v>
      </c>
      <c r="AD55" s="1">
        <f t="shared" ca="1" si="6"/>
        <v>1564.765224689487</v>
      </c>
      <c r="AE55" s="1"/>
      <c r="AF55" s="1"/>
      <c r="AG55" s="1"/>
      <c r="AH55" s="1"/>
      <c r="AI55" s="1"/>
      <c r="AM55" s="1"/>
      <c r="AN55" s="1"/>
      <c r="AO55">
        <v>49</v>
      </c>
      <c r="AP55" t="s">
        <v>65</v>
      </c>
    </row>
    <row r="56" spans="4:43">
      <c r="V56" s="1">
        <f t="shared" si="7"/>
        <v>2039</v>
      </c>
      <c r="W56" s="1">
        <f t="shared" ca="1" si="2"/>
        <v>18.43439865112304</v>
      </c>
      <c r="X56" s="1">
        <f t="shared" ca="1" si="3"/>
        <v>24.517750205993643</v>
      </c>
      <c r="Y56" s="1">
        <f t="shared" ca="1" si="4"/>
        <v>12.351047096252437</v>
      </c>
      <c r="Z56" s="1">
        <f t="shared" ca="1" si="5"/>
        <v>0</v>
      </c>
      <c r="AA56" t="b">
        <f t="shared" ca="1" si="8"/>
        <v>1</v>
      </c>
      <c r="AC56" s="1">
        <f t="shared" ca="1" si="1"/>
        <v>1445.293723045349</v>
      </c>
      <c r="AD56" s="1">
        <f t="shared" ca="1" si="6"/>
        <v>1445.293723045349</v>
      </c>
      <c r="AE56" s="1"/>
      <c r="AF56" s="1"/>
      <c r="AG56" s="1"/>
      <c r="AH56" s="1"/>
      <c r="AI56" s="1"/>
      <c r="AM56" s="1"/>
      <c r="AN56" s="1"/>
      <c r="AO56">
        <v>50</v>
      </c>
      <c r="AP56" t="s">
        <v>66</v>
      </c>
    </row>
    <row r="57" spans="4:43">
      <c r="V57" s="1">
        <f t="shared" si="7"/>
        <v>2040</v>
      </c>
      <c r="W57" s="1">
        <f t="shared" ca="1" si="2"/>
        <v>17.029008865356481</v>
      </c>
      <c r="X57" s="1">
        <f t="shared" ca="1" si="3"/>
        <v>22.648581790924119</v>
      </c>
      <c r="Y57" s="1">
        <f t="shared" ca="1" si="4"/>
        <v>11.409435939788843</v>
      </c>
      <c r="Z57" s="1">
        <f t="shared" ca="1" si="5"/>
        <v>0</v>
      </c>
      <c r="AA57" t="b">
        <f t="shared" ca="1" si="8"/>
        <v>1</v>
      </c>
      <c r="AC57" s="1">
        <f t="shared" ca="1" si="1"/>
        <v>1335.1083530616788</v>
      </c>
      <c r="AD57" s="1">
        <f t="shared" ca="1" si="6"/>
        <v>1335.1083530616788</v>
      </c>
      <c r="AE57" s="1"/>
      <c r="AF57" s="1"/>
      <c r="AG57" s="1"/>
      <c r="AH57" s="1"/>
      <c r="AI57" s="1"/>
    </row>
    <row r="58" spans="4:43">
      <c r="V58" s="1">
        <f t="shared" si="7"/>
        <v>2041</v>
      </c>
      <c r="W58" s="1">
        <f t="shared" ca="1" si="2"/>
        <v>15.732636451721186</v>
      </c>
      <c r="X58" s="1">
        <f t="shared" ca="1" si="3"/>
        <v>20.92440648078918</v>
      </c>
      <c r="Y58" s="1">
        <f t="shared" ca="1" si="4"/>
        <v>10.540866422653195</v>
      </c>
      <c r="Z58" s="1">
        <f t="shared" ca="1" si="5"/>
        <v>0</v>
      </c>
      <c r="AA58" t="b">
        <f t="shared" ca="1" si="8"/>
        <v>1</v>
      </c>
      <c r="AC58" s="1">
        <f t="shared" ca="1" si="1"/>
        <v>1233.4701630878446</v>
      </c>
      <c r="AD58" s="1">
        <f t="shared" ca="1" si="6"/>
        <v>1233.4701630878446</v>
      </c>
      <c r="AE58" s="1"/>
      <c r="AF58" s="1"/>
      <c r="AG58" s="1"/>
      <c r="AH58" s="1"/>
      <c r="AI58" s="1"/>
    </row>
    <row r="59" spans="4:43">
      <c r="V59" s="1">
        <f t="shared" si="7"/>
        <v>2042</v>
      </c>
      <c r="W59" s="1">
        <f t="shared" ca="1" si="2"/>
        <v>14.536626815795902</v>
      </c>
      <c r="X59" s="1">
        <f t="shared" ca="1" si="3"/>
        <v>19.333713665008549</v>
      </c>
      <c r="Y59" s="1">
        <f t="shared" ca="1" si="4"/>
        <v>9.7395399665832549</v>
      </c>
      <c r="Z59" s="1">
        <f t="shared" ca="1" si="5"/>
        <v>0</v>
      </c>
      <c r="AA59" t="b">
        <f t="shared" ca="1" si="8"/>
        <v>1</v>
      </c>
      <c r="AC59" s="1">
        <f t="shared" ca="1" si="1"/>
        <v>1139.7006156120303</v>
      </c>
      <c r="AD59" s="1">
        <f t="shared" ca="1" si="6"/>
        <v>1139.7006156120303</v>
      </c>
      <c r="AE59" s="1"/>
      <c r="AF59" s="1"/>
      <c r="AG59" s="1"/>
      <c r="AH59" s="1"/>
      <c r="AI59" s="1"/>
    </row>
    <row r="60" spans="4:43">
      <c r="V60" s="1">
        <f t="shared" si="7"/>
        <v>2043</v>
      </c>
      <c r="W60" s="1">
        <f t="shared" ca="1" si="2"/>
        <v>13.433034896850589</v>
      </c>
      <c r="X60" s="1">
        <f t="shared" ca="1" si="3"/>
        <v>17.865936412811283</v>
      </c>
      <c r="Y60" s="1">
        <f t="shared" ca="1" si="4"/>
        <v>9.0001333808898956</v>
      </c>
      <c r="Z60" s="1">
        <f t="shared" ca="1" si="5"/>
        <v>0</v>
      </c>
      <c r="AA60" t="b">
        <f t="shared" ca="1" si="8"/>
        <v>1</v>
      </c>
      <c r="AC60" s="1">
        <f t="shared" ca="1" si="1"/>
        <v>1053.1768019828799</v>
      </c>
      <c r="AD60" s="1">
        <f t="shared" ca="1" si="6"/>
        <v>1053.1768019828799</v>
      </c>
      <c r="AE60" s="1"/>
      <c r="AF60" s="1"/>
      <c r="AG60" s="1"/>
      <c r="AH60" s="1"/>
      <c r="AI60" s="1"/>
    </row>
    <row r="61" spans="4:43">
      <c r="V61" s="1">
        <f t="shared" si="7"/>
        <v>2044</v>
      </c>
      <c r="W61" s="1">
        <f t="shared" ca="1" si="2"/>
        <v>12.414561271667488</v>
      </c>
      <c r="X61" s="1">
        <f t="shared" ca="1" si="3"/>
        <v>16.511366491317759</v>
      </c>
      <c r="Y61" s="1">
        <f t="shared" ca="1" si="4"/>
        <v>8.3177560520172165</v>
      </c>
      <c r="Z61" s="1">
        <f t="shared" ca="1" si="5"/>
        <v>0</v>
      </c>
      <c r="AA61" t="b">
        <f t="shared" ca="1" si="8"/>
        <v>1</v>
      </c>
      <c r="AC61" s="1">
        <f t="shared" ca="1" si="1"/>
        <v>973.32643282127424</v>
      </c>
      <c r="AD61" s="1">
        <f t="shared" ca="1" si="6"/>
        <v>973.32643282127424</v>
      </c>
      <c r="AE61" s="1"/>
      <c r="AF61" s="1"/>
      <c r="AG61" s="1"/>
      <c r="AH61" s="1"/>
      <c r="AI61" s="1"/>
    </row>
    <row r="62" spans="4:43">
      <c r="V62" s="1">
        <f t="shared" si="7"/>
        <v>2045</v>
      </c>
      <c r="W62" s="1">
        <f t="shared" ca="1" si="2"/>
        <v>11.474499702453617</v>
      </c>
      <c r="X62" s="1">
        <f t="shared" ca="1" si="3"/>
        <v>15.261084604263312</v>
      </c>
      <c r="Y62" s="1">
        <f t="shared" ca="1" si="4"/>
        <v>7.6879148006439237</v>
      </c>
      <c r="Z62" s="1">
        <f t="shared" ca="1" si="5"/>
        <v>0</v>
      </c>
      <c r="AA62" t="b">
        <f t="shared" ca="1" si="8"/>
        <v>1</v>
      </c>
      <c r="AC62" s="1">
        <f t="shared" ca="1" si="1"/>
        <v>899.6237256717684</v>
      </c>
      <c r="AD62" s="1">
        <f t="shared" ca="1" si="6"/>
        <v>899.6237256717684</v>
      </c>
      <c r="AE62" s="1"/>
      <c r="AF62" s="1"/>
      <c r="AG62" s="1"/>
      <c r="AH62" s="1"/>
      <c r="AI62" s="1"/>
    </row>
    <row r="63" spans="4:43">
      <c r="V63" s="1">
        <f t="shared" si="7"/>
        <v>2046</v>
      </c>
      <c r="W63" s="1">
        <f t="shared" ca="1" si="2"/>
        <v>10.606687545776367</v>
      </c>
      <c r="X63" s="1">
        <f t="shared" ca="1" si="3"/>
        <v>14.10689443588257</v>
      </c>
      <c r="Y63" s="1">
        <f t="shared" ca="1" si="4"/>
        <v>7.1064806556701665</v>
      </c>
      <c r="Z63" s="1">
        <f t="shared" ca="1" si="5"/>
        <v>0</v>
      </c>
      <c r="AA63" t="b">
        <f t="shared" ca="1" si="8"/>
        <v>1</v>
      </c>
      <c r="AC63" s="1">
        <f t="shared" ca="1" si="1"/>
        <v>831.58551696395864</v>
      </c>
      <c r="AD63" s="1">
        <f t="shared" ca="1" si="6"/>
        <v>831.58551696395864</v>
      </c>
      <c r="AE63" s="1"/>
      <c r="AF63" s="1"/>
      <c r="AG63" s="1"/>
      <c r="AH63" s="1"/>
      <c r="AI63" s="1"/>
    </row>
    <row r="64" spans="4:43">
      <c r="V64" s="1">
        <f t="shared" si="7"/>
        <v>2047</v>
      </c>
      <c r="W64" s="1">
        <f t="shared" ca="1" si="2"/>
        <v>9.8054580688476634</v>
      </c>
      <c r="X64" s="1">
        <f t="shared" ca="1" si="3"/>
        <v>13.041259231567393</v>
      </c>
      <c r="Y64" s="1">
        <f t="shared" ca="1" si="4"/>
        <v>6.5696569061279346</v>
      </c>
      <c r="Z64" s="1">
        <f t="shared" ca="1" si="5"/>
        <v>0</v>
      </c>
      <c r="AA64" t="b">
        <f t="shared" ca="1" si="8"/>
        <v>1</v>
      </c>
      <c r="AC64" s="1">
        <f t="shared" ca="1" si="1"/>
        <v>768.76752351379457</v>
      </c>
      <c r="AD64" s="1">
        <f t="shared" ca="1" si="6"/>
        <v>768.76752351379457</v>
      </c>
      <c r="AE64" s="1"/>
      <c r="AF64" s="1"/>
      <c r="AG64" s="1"/>
      <c r="AH64" s="1"/>
      <c r="AI64" s="1"/>
      <c r="AM64" s="1"/>
      <c r="AN64" s="1"/>
    </row>
    <row r="65" spans="22:40">
      <c r="V65" s="1">
        <f t="shared" si="7"/>
        <v>2048</v>
      </c>
      <c r="W65" s="1">
        <f t="shared" ca="1" si="2"/>
        <v>9.0656042098999041</v>
      </c>
      <c r="X65" s="1">
        <f t="shared" ca="1" si="3"/>
        <v>12.057253599166874</v>
      </c>
      <c r="Y65" s="1">
        <f t="shared" ca="1" si="4"/>
        <v>6.0739548206329363</v>
      </c>
      <c r="Z65" s="1">
        <f t="shared" ca="1" si="5"/>
        <v>0</v>
      </c>
      <c r="AA65" t="b">
        <f t="shared" ca="1" si="8"/>
        <v>1</v>
      </c>
      <c r="AC65" s="1">
        <f t="shared" ca="1" si="1"/>
        <v>710.7615012645723</v>
      </c>
      <c r="AD65" s="1">
        <f t="shared" ca="1" si="6"/>
        <v>710.7615012645723</v>
      </c>
      <c r="AE65" s="1"/>
      <c r="AF65" s="1"/>
      <c r="AG65" s="1"/>
      <c r="AH65" s="1"/>
      <c r="AI65" s="1"/>
      <c r="AM65" s="1"/>
      <c r="AN65" s="1"/>
    </row>
    <row r="66" spans="22:40">
      <c r="V66" s="1">
        <f t="shared" si="7"/>
        <v>2049</v>
      </c>
      <c r="W66" s="1">
        <f t="shared" ca="1" si="2"/>
        <v>8.3823318481445277</v>
      </c>
      <c r="X66" s="1">
        <f t="shared" ca="1" si="3"/>
        <v>11.148501358032222</v>
      </c>
      <c r="Y66" s="1">
        <f t="shared" ca="1" si="4"/>
        <v>5.6161623382568342</v>
      </c>
      <c r="Z66" s="1">
        <f t="shared" ca="1" si="5"/>
        <v>0</v>
      </c>
      <c r="AA66" t="b">
        <f t="shared" ca="1" si="8"/>
        <v>1</v>
      </c>
      <c r="AC66" s="1">
        <f t="shared" ca="1" si="1"/>
        <v>657.1915815582272</v>
      </c>
      <c r="AD66" s="1">
        <f t="shared" ca="1" si="6"/>
        <v>657.1915815582272</v>
      </c>
      <c r="AE66" s="1"/>
      <c r="AF66" s="1"/>
      <c r="AG66" s="1"/>
      <c r="AH66" s="1"/>
      <c r="AI66" s="1"/>
      <c r="AM66" s="1"/>
      <c r="AN66" s="1"/>
    </row>
    <row r="69" spans="22:40">
      <c r="V69" s="1"/>
      <c r="W69" s="1"/>
      <c r="X69" s="1"/>
      <c r="Y69" s="1"/>
      <c r="Z69" s="1"/>
      <c r="AC69" s="1"/>
      <c r="AD69" s="1"/>
      <c r="AE69" s="1"/>
      <c r="AF69" s="1"/>
      <c r="AG69" s="1"/>
      <c r="AH69" s="1"/>
      <c r="AI69" s="1"/>
      <c r="AM69" s="1"/>
      <c r="AN69" s="1"/>
    </row>
    <row r="70" spans="22:40">
      <c r="V70" s="1"/>
      <c r="W70" s="1"/>
      <c r="X70" s="1"/>
      <c r="Y70" s="1"/>
      <c r="Z70" s="1"/>
      <c r="AC70" s="1"/>
      <c r="AD70" s="1"/>
      <c r="AE70" s="1"/>
      <c r="AF70" s="1"/>
      <c r="AG70" s="1"/>
      <c r="AH70" s="1"/>
      <c r="AI70" s="1"/>
      <c r="AM70" s="1"/>
      <c r="AN70" s="1"/>
    </row>
    <row r="71" spans="22:40">
      <c r="V71" s="1"/>
      <c r="W71" s="1"/>
      <c r="X71" s="1"/>
      <c r="Y71" s="1"/>
      <c r="Z71" s="1"/>
      <c r="AC71" s="1"/>
      <c r="AD71" s="1"/>
      <c r="AE71" s="1"/>
      <c r="AF71" s="1"/>
      <c r="AG71" s="1"/>
      <c r="AH71" s="1"/>
      <c r="AI71" s="1"/>
      <c r="AM71" s="1"/>
      <c r="AN71" s="1"/>
    </row>
    <row r="72" spans="22:40">
      <c r="V72" s="1"/>
      <c r="W72" s="1"/>
      <c r="X72" s="1"/>
      <c r="Y72" s="1"/>
      <c r="Z72" s="1"/>
      <c r="AC72" s="1"/>
      <c r="AD72" s="1"/>
      <c r="AE72" s="1"/>
      <c r="AF72" s="1"/>
      <c r="AG72" s="1"/>
      <c r="AH72" s="1"/>
      <c r="AI72" s="1"/>
      <c r="AM72" s="1"/>
      <c r="AN72" s="1"/>
    </row>
    <row r="73" spans="22:40">
      <c r="V73" s="1"/>
      <c r="W73" s="1"/>
      <c r="X73" s="1"/>
      <c r="Y73" s="1"/>
      <c r="Z73" s="1"/>
      <c r="AC73" s="1"/>
      <c r="AD73" s="1"/>
      <c r="AE73" s="1"/>
      <c r="AF73" s="1"/>
      <c r="AG73" s="1"/>
      <c r="AH73" s="1"/>
      <c r="AI73" s="1"/>
      <c r="AM73" s="1"/>
      <c r="AN73" s="1"/>
    </row>
    <row r="74" spans="22:40">
      <c r="V74" s="1"/>
      <c r="W74" s="1"/>
      <c r="X74" s="1"/>
      <c r="Y74" s="1"/>
      <c r="Z74" s="1"/>
      <c r="AC74" s="1"/>
      <c r="AD74" s="1"/>
      <c r="AE74" s="1"/>
      <c r="AF74" s="1"/>
      <c r="AG74" s="1"/>
      <c r="AH74" s="1"/>
      <c r="AI74" s="1"/>
      <c r="AM74" s="1"/>
      <c r="AN74" s="1"/>
    </row>
    <row r="75" spans="22:40">
      <c r="V75" s="1"/>
      <c r="W75" s="1"/>
      <c r="X75" s="1"/>
      <c r="Y75" s="1"/>
      <c r="Z75" s="1"/>
      <c r="AC75" s="1"/>
      <c r="AD75" s="1"/>
      <c r="AE75" s="1"/>
      <c r="AF75" s="1"/>
      <c r="AG75" s="1"/>
      <c r="AH75" s="1"/>
      <c r="AI75" s="1"/>
      <c r="AM75" s="1"/>
      <c r="AN75" s="1"/>
    </row>
    <row r="76" spans="22:40">
      <c r="V76" s="1"/>
      <c r="W76" s="1"/>
      <c r="X76" s="1"/>
      <c r="Y76" s="1"/>
      <c r="Z76" s="1"/>
      <c r="AC76" s="1"/>
      <c r="AD76" s="1"/>
      <c r="AE76" s="1"/>
      <c r="AF76" s="1"/>
      <c r="AG76" s="1"/>
      <c r="AH76" s="1"/>
      <c r="AI76" s="1"/>
      <c r="AM76" s="1"/>
      <c r="AN76" s="1"/>
    </row>
    <row r="77" spans="22:40">
      <c r="V77" s="1"/>
      <c r="W77" s="1"/>
      <c r="X77" s="1"/>
      <c r="Y77" s="1"/>
      <c r="Z77" s="1"/>
      <c r="AC77" s="1"/>
      <c r="AD77" s="1"/>
      <c r="AE77" s="1"/>
      <c r="AF77" s="1"/>
      <c r="AG77" s="1"/>
      <c r="AH77" s="1"/>
      <c r="AI77" s="1"/>
      <c r="AM77" s="1"/>
      <c r="AN77" s="1"/>
    </row>
    <row r="78" spans="22:40">
      <c r="AM78" s="1"/>
      <c r="AN78" s="1"/>
    </row>
    <row r="79" spans="22:40">
      <c r="AM79" s="1"/>
      <c r="AN79" s="1"/>
    </row>
    <row r="80" spans="22:40">
      <c r="AM80" s="1"/>
      <c r="AN80" s="1"/>
    </row>
    <row r="81" spans="39:40">
      <c r="AM81" s="1"/>
      <c r="AN81" s="1"/>
    </row>
    <row r="82" spans="39:40">
      <c r="AM82" s="1"/>
      <c r="AN82" s="1"/>
    </row>
    <row r="83" spans="39:40">
      <c r="AM83" s="1"/>
      <c r="AN83" s="1"/>
    </row>
    <row r="84" spans="39:40">
      <c r="AM84" s="1"/>
      <c r="AN84" s="1"/>
    </row>
    <row r="159" spans="8:6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1" spans="8:52">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3" spans="8:52">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5" spans="8:52">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7" spans="8:52">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sheetData>
  <sheetProtection password="8AFA" sheet="1" objects="1" scenarios="1"/>
  <dataValidations count="5">
    <dataValidation type="decimal" showInputMessage="1" showErrorMessage="1" errorTitle="Percentage only" error="Enter a percentage value between 0 and 100%" sqref="F41:F43">
      <formula1>0</formula1>
      <formula2>1</formula2>
    </dataValidation>
    <dataValidation type="whole" allowBlank="1" showErrorMessage="1" errorTitle="Numbers only" error="Numbers only" sqref="D8">
      <formula1>0</formula1>
      <formula2>10000000</formula2>
    </dataValidation>
    <dataValidation allowBlank="1" showInputMessage="1" showErrorMessage="1" error="Please enter a number between only" sqref="D2"/>
    <dataValidation type="whole" allowBlank="1" showErrorMessage="1" errorTitle="Numbers only" error="Please enter a number between Year of Site Opening and the Current Year." sqref="D6">
      <formula1>D4</formula1>
      <formula2>D2</formula2>
    </dataValidation>
    <dataValidation type="whole" allowBlank="1" showInputMessage="1" showErrorMessage="1" errorTitle="Numbers only" error="Please enter a number between 1900 and the Current Year." sqref="D4">
      <formula1>1900</formula1>
      <formula2>D2</formula2>
    </dataValidation>
  </dataValidations>
  <pageMargins left="0.7" right="0.7" top="0.75" bottom="0.75" header="0.3" footer="0.3"/>
  <pageSetup paperSize="9" orientation="portrait" verticalDpi="0"/>
  <drawing r:id="rId1"/>
  <legacyDrawing r:id="rId2"/>
</worksheet>
</file>

<file path=xl/worksheets/sheet6.xml><?xml version="1.0" encoding="utf-8"?>
<worksheet xmlns="http://schemas.openxmlformats.org/spreadsheetml/2006/main" xmlns:r="http://schemas.openxmlformats.org/officeDocument/2006/relationships">
  <dimension ref="A1:BP167"/>
  <sheetViews>
    <sheetView showGridLines="0" zoomScale="70" zoomScaleNormal="70" workbookViewId="0">
      <selection activeCell="A39" sqref="A39"/>
    </sheetView>
  </sheetViews>
  <sheetFormatPr defaultRowHeight="15" outlineLevelCol="1"/>
  <cols>
    <col min="1" max="1" width="105.77734375" customWidth="1"/>
    <col min="2" max="2" width="47.77734375" customWidth="1"/>
    <col min="3" max="3" width="6.44140625" customWidth="1"/>
    <col min="4" max="4" width="11" bestFit="1" customWidth="1"/>
    <col min="5" max="5" width="17.33203125" customWidth="1"/>
    <col min="6" max="6" width="11.5546875" customWidth="1"/>
    <col min="7" max="7" width="7.5546875" customWidth="1"/>
    <col min="8" max="8" width="53.77734375" customWidth="1"/>
    <col min="9" max="16" width="15.77734375" customWidth="1"/>
    <col min="17" max="19" width="6.88671875" customWidth="1"/>
    <col min="20" max="21" width="8.88671875" customWidth="1" outlineLevel="1"/>
    <col min="22" max="22" width="12.44140625" bestFit="1" customWidth="1" outlineLevel="1"/>
    <col min="23" max="23" width="35.77734375" bestFit="1" customWidth="1" outlineLevel="1"/>
    <col min="24" max="24" width="5.5546875" customWidth="1" outlineLevel="1"/>
    <col min="25" max="25" width="5.33203125" bestFit="1" customWidth="1" outlineLevel="1"/>
    <col min="26" max="26" width="11.6640625" bestFit="1" customWidth="1" outlineLevel="1"/>
    <col min="27" max="27" width="10.33203125" bestFit="1" customWidth="1" outlineLevel="1"/>
    <col min="28" max="28" width="1.77734375" customWidth="1" outlineLevel="1"/>
    <col min="29" max="29" width="37.44140625" bestFit="1" customWidth="1" outlineLevel="1"/>
    <col min="30" max="30" width="11.33203125" bestFit="1" customWidth="1" outlineLevel="1"/>
    <col min="31" max="35" width="1.77734375" customWidth="1" outlineLevel="1"/>
    <col min="36" max="41" width="8.88671875" customWidth="1" outlineLevel="1"/>
    <col min="42" max="42" width="4" customWidth="1" outlineLevel="1"/>
  </cols>
  <sheetData>
    <row r="1" spans="1:43" ht="24.95" customHeight="1" thickBot="1">
      <c r="A1" s="34" t="s">
        <v>83</v>
      </c>
      <c r="T1" t="str">
        <f ca="1">IF(T10&lt;&gt;"","Table Value","")</f>
        <v>Table Value</v>
      </c>
      <c r="AJ1">
        <v>1</v>
      </c>
      <c r="AK1">
        <v>5</v>
      </c>
      <c r="AL1">
        <f ca="1">SUMIF('Consolidated tables'!B:B,'Otterspool example'!$T$10,INDIRECT("'Consolidated tables'!"&amp;VLOOKUP(AJ1,AO:AP,2,FALSE)&amp;":"&amp;VLOOKUP(AJ1,AO:AP,2,FALSE)))</f>
        <v>0.75531280517577992</v>
      </c>
      <c r="AM1" s="1">
        <f ca="1">SUMIF('Consolidated tables'!B:B,'Otterspool example'!$T$14,INDIRECT("'Consolidated tables'!"&amp;VLOOKUP(AJ1,AO:AP,2,FALSE)&amp;":"&amp;VLOOKUP(AJ1,AO:AP,2,FALSE)))</f>
        <v>59.218034551391497</v>
      </c>
      <c r="AN1" s="1">
        <f ca="1">SUMIF('Consolidated tables'!B:B,'Otterspool example'!$T$15,INDIRECT("'Consolidated tables'!"&amp;VLOOKUP(AJ1,AO:AP,2,FALSE)&amp;":"&amp;VLOOKUP(AJ1,AO:AP,2,FALSE)))</f>
        <v>0</v>
      </c>
      <c r="AP1" t="s">
        <v>58</v>
      </c>
      <c r="AQ1" s="1"/>
    </row>
    <row r="2" spans="1:43" ht="24" customHeight="1" thickBot="1">
      <c r="B2" s="71" t="s">
        <v>2</v>
      </c>
      <c r="D2" s="18">
        <f ca="1">YEAR(TODAY())</f>
        <v>2015</v>
      </c>
      <c r="E2" s="36" t="s">
        <v>8</v>
      </c>
      <c r="F2" s="18"/>
      <c r="G2" s="36" t="str">
        <f>"= Result Cell"</f>
        <v>= Result Cell</v>
      </c>
      <c r="AJ2">
        <v>2</v>
      </c>
      <c r="AK2">
        <v>5</v>
      </c>
      <c r="AL2">
        <f ca="1">SUMIF('Consolidated tables'!B:B,'Otterspool example'!$T$10,INDIRECT("'Consolidated tables'!"&amp;VLOOKUP(AJ2,AO:AP,2,FALSE)&amp;":"&amp;VLOOKUP(AJ2,AO:AP,2,FALSE)))</f>
        <v>0.73634635925292802</v>
      </c>
      <c r="AM2" s="1">
        <f ca="1">SUMIF('Consolidated tables'!B:B,'Otterspool example'!$T$14,INDIRECT("'Consolidated tables'!"&amp;VLOOKUP(AJ2,AO:AP,2,FALSE)&amp;":"&amp;VLOOKUP(AJ2,AO:AP,2,FALSE)))</f>
        <v>57.731027258148075</v>
      </c>
      <c r="AN2" s="1">
        <f ca="1">SUMIF('Consolidated tables'!B:B,'Otterspool example'!$T$15,INDIRECT("'Consolidated tables'!"&amp;VLOOKUP(AJ2,AO:AP,2,FALSE)&amp;":"&amp;VLOOKUP(AJ2,AO:AP,2,FALSE)))</f>
        <v>0</v>
      </c>
      <c r="AP2" t="s">
        <v>59</v>
      </c>
      <c r="AQ2" s="1"/>
    </row>
    <row r="3" spans="1:43" ht="24" customHeight="1" thickBot="1">
      <c r="B3" s="35"/>
      <c r="D3" s="11"/>
      <c r="E3" s="36"/>
      <c r="G3" s="36"/>
      <c r="AJ3">
        <v>3</v>
      </c>
      <c r="AK3">
        <v>5</v>
      </c>
      <c r="AL3">
        <f ca="1">SUMIF('Consolidated tables'!B:B,'Otterspool example'!$T$10,INDIRECT("'Consolidated tables'!"&amp;VLOOKUP(AJ3,AO:AP,2,FALSE)&amp;":"&amp;VLOOKUP(AJ3,AO:AP,2,FALSE)))</f>
        <v>0.65756111145019602</v>
      </c>
      <c r="AM3" s="1">
        <f ca="1">SUMIF('Consolidated tables'!B:B,'Otterspool example'!$T$14,INDIRECT("'Consolidated tables'!"&amp;VLOOKUP(AJ3,AO:AP,2,FALSE)&amp;":"&amp;VLOOKUP(AJ3,AO:AP,2,FALSE)))</f>
        <v>51.554106259918278</v>
      </c>
      <c r="AN3" s="1">
        <f ca="1">SUMIF('Consolidated tables'!B:B,'Otterspool example'!$T$15,INDIRECT("'Consolidated tables'!"&amp;VLOOKUP(AJ3,AO:AP,2,FALSE)&amp;":"&amp;VLOOKUP(AJ3,AO:AP,2,FALSE)))</f>
        <v>0</v>
      </c>
      <c r="AP3" t="s">
        <v>60</v>
      </c>
      <c r="AQ3" s="1"/>
    </row>
    <row r="4" spans="1:43" ht="24" customHeight="1" thickBot="1">
      <c r="A4" s="35" t="s">
        <v>94</v>
      </c>
      <c r="B4" s="71" t="s">
        <v>4</v>
      </c>
      <c r="D4" s="33">
        <v>1951</v>
      </c>
      <c r="E4" s="36" t="s">
        <v>8</v>
      </c>
      <c r="F4" s="39"/>
      <c r="G4" s="36" t="str">
        <f>"= Text Entry Cell"</f>
        <v>= Text Entry Cell</v>
      </c>
      <c r="T4" t="s">
        <v>9</v>
      </c>
      <c r="U4" t="s">
        <v>9</v>
      </c>
      <c r="AJ4">
        <v>4</v>
      </c>
      <c r="AK4">
        <v>5</v>
      </c>
      <c r="AL4">
        <f ca="1">SUMIF('Consolidated tables'!B:B,'Otterspool example'!$T$10,INDIRECT("'Consolidated tables'!"&amp;VLOOKUP(AJ4,AO:AP,2,FALSE)&amp;":"&amp;VLOOKUP(AJ4,AO:AP,2,FALSE)))</f>
        <v>0.59218162536621199</v>
      </c>
      <c r="AM4" s="1">
        <f ca="1">SUMIF('Consolidated tables'!B:B,'Otterspool example'!$T$14,INDIRECT("'Consolidated tables'!"&amp;VLOOKUP(AJ4,AO:AP,2,FALSE)&amp;":"&amp;VLOOKUP(AJ4,AO:AP,2,FALSE)))</f>
        <v>46.428223791961749</v>
      </c>
      <c r="AN4" s="1">
        <f ca="1">SUMIF('Consolidated tables'!B:B,'Otterspool example'!$T$15,INDIRECT("'Consolidated tables'!"&amp;VLOOKUP(AJ4,AO:AP,2,FALSE)&amp;":"&amp;VLOOKUP(AJ4,AO:AP,2,FALSE)))</f>
        <v>0</v>
      </c>
      <c r="AP4" t="s">
        <v>61</v>
      </c>
      <c r="AQ4" s="1"/>
    </row>
    <row r="5" spans="1:43" ht="24" customHeight="1" thickBot="1">
      <c r="A5" s="36"/>
      <c r="B5" s="36"/>
      <c r="D5" s="11"/>
      <c r="E5" s="36"/>
      <c r="AJ5">
        <v>5</v>
      </c>
      <c r="AK5">
        <v>5</v>
      </c>
      <c r="AL5">
        <f ca="1">SUMIF('Consolidated tables'!B:B,'Otterspool example'!$T$10,INDIRECT("'Consolidated tables'!"&amp;VLOOKUP(AJ5,AO:AP,2,FALSE)&amp;":"&amp;VLOOKUP(AJ5,AO:AP,2,FALSE)))</f>
        <v>0.53785167694091596</v>
      </c>
      <c r="AM5" s="1">
        <f ca="1">SUMIF('Consolidated tables'!B:B,'Otterspool example'!$T$14,INDIRECT("'Consolidated tables'!"&amp;VLOOKUP(AJ5,AO:AP,2,FALSE)&amp;":"&amp;VLOOKUP(AJ5,AO:AP,2,FALSE)))</f>
        <v>42.168647175521699</v>
      </c>
      <c r="AN5" s="1">
        <f ca="1">SUMIF('Consolidated tables'!B:B,'Otterspool example'!$T$15,INDIRECT("'Consolidated tables'!"&amp;VLOOKUP(AJ5,AO:AP,2,FALSE)&amp;":"&amp;VLOOKUP(AJ5,AO:AP,2,FALSE)))</f>
        <v>0</v>
      </c>
      <c r="AP5" t="s">
        <v>68</v>
      </c>
      <c r="AQ5" s="1"/>
    </row>
    <row r="6" spans="1:43" ht="24" customHeight="1" thickBot="1">
      <c r="A6" s="37" t="s">
        <v>95</v>
      </c>
      <c r="B6" s="71" t="s">
        <v>3</v>
      </c>
      <c r="D6" s="33">
        <v>1981</v>
      </c>
      <c r="E6" s="36" t="s">
        <v>8</v>
      </c>
      <c r="T6" t="s">
        <v>10</v>
      </c>
      <c r="U6" t="s">
        <v>11</v>
      </c>
      <c r="AJ6">
        <v>6</v>
      </c>
      <c r="AK6">
        <f>AK1+5</f>
        <v>10</v>
      </c>
      <c r="AL6">
        <f ca="1">SUMIF('Consolidated tables'!B:B,'Otterspool example'!$T$10,INDIRECT("'Consolidated tables'!"&amp;VLOOKUP(AJ6,AO:AP,2,FALSE)&amp;":"&amp;VLOOKUP(AJ6,AO:AP,2,FALSE)))</f>
        <v>0.49088718414306798</v>
      </c>
      <c r="AM6" s="1">
        <f ca="1">SUMIF('Consolidated tables'!B:B,'Otterspool example'!$T$14,INDIRECT("'Consolidated tables'!"&amp;VLOOKUP(AJ6,AO:AP,2,FALSE)&amp;":"&amp;VLOOKUP(AJ6,AO:AP,2,FALSE)))</f>
        <v>38.486537011184815</v>
      </c>
      <c r="AN6" s="1">
        <f ca="1">SUMIF('Consolidated tables'!B:B,'Otterspool example'!$T$15,INDIRECT("'Consolidated tables'!"&amp;VLOOKUP(AJ6,AO:AP,2,FALSE)&amp;":"&amp;VLOOKUP(AJ6,AO:AP,2,FALSE)))</f>
        <v>0</v>
      </c>
      <c r="AP6" t="s">
        <v>62</v>
      </c>
      <c r="AQ6" s="1"/>
    </row>
    <row r="7" spans="1:43" ht="24" customHeight="1" thickBot="1">
      <c r="A7" s="36"/>
      <c r="B7" s="36"/>
      <c r="D7" s="11"/>
      <c r="E7" s="36"/>
      <c r="AJ7">
        <v>7</v>
      </c>
      <c r="AK7">
        <f t="shared" ref="AK7:AK50" si="0">AK2+5</f>
        <v>10</v>
      </c>
      <c r="AL7">
        <f ca="1">SUMIF('Consolidated tables'!B:B,'Otterspool example'!$T$10,INDIRECT("'Consolidated tables'!"&amp;VLOOKUP(AJ7,AO:AP,2,FALSE)&amp;":"&amp;VLOOKUP(AJ7,AO:AP,2,FALSE)))</f>
        <v>0.449284248352052</v>
      </c>
      <c r="AM7" s="1">
        <f ca="1">SUMIF('Consolidated tables'!B:B,'Otterspool example'!$T$14,INDIRECT("'Consolidated tables'!"&amp;VLOOKUP(AJ7,AO:AP,2,FALSE)&amp;":"&amp;VLOOKUP(AJ7,AO:AP,2,FALSE)))</f>
        <v>35.224783639297577</v>
      </c>
      <c r="AN7" s="1">
        <f ca="1">SUMIF('Consolidated tables'!B:B,'Otterspool example'!$T$15,INDIRECT("'Consolidated tables'!"&amp;VLOOKUP(AJ7,AO:AP,2,FALSE)&amp;":"&amp;VLOOKUP(AJ7,AO:AP,2,FALSE)))</f>
        <v>0</v>
      </c>
      <c r="AO7">
        <v>1</v>
      </c>
      <c r="AP7" t="s">
        <v>12</v>
      </c>
      <c r="AQ7" s="1"/>
    </row>
    <row r="8" spans="1:43" ht="24" customHeight="1" thickBot="1">
      <c r="A8" s="37" t="s">
        <v>98</v>
      </c>
      <c r="B8" s="71" t="s">
        <v>6</v>
      </c>
      <c r="D8" s="19">
        <v>4000</v>
      </c>
      <c r="E8" s="36" t="s">
        <v>99</v>
      </c>
      <c r="AJ8">
        <v>8</v>
      </c>
      <c r="AK8">
        <f t="shared" si="0"/>
        <v>10</v>
      </c>
      <c r="AL8">
        <f ca="1">SUMIF('Consolidated tables'!B:B,'Otterspool example'!$T$10,INDIRECT("'Consolidated tables'!"&amp;VLOOKUP(AJ8,AO:AP,2,FALSE)&amp;":"&amp;VLOOKUP(AJ8,AO:AP,2,FALSE)))</f>
        <v>0.41189327239990398</v>
      </c>
      <c r="AM8" s="1">
        <f ca="1">SUMIF('Consolidated tables'!B:B,'Otterspool example'!$T$14,INDIRECT("'Consolidated tables'!"&amp;VLOOKUP(AJ8,AO:AP,2,FALSE)&amp;":"&amp;VLOOKUP(AJ8,AO:AP,2,FALSE)))</f>
        <v>32.293256342697276</v>
      </c>
      <c r="AN8" s="1">
        <f ca="1">SUMIF('Consolidated tables'!B:B,'Otterspool example'!$T$15,INDIRECT("'Consolidated tables'!"&amp;VLOOKUP(AJ8,AO:AP,2,FALSE)&amp;":"&amp;VLOOKUP(AJ8,AO:AP,2,FALSE)))</f>
        <v>0</v>
      </c>
      <c r="AO8">
        <v>2</v>
      </c>
      <c r="AP8" t="s">
        <v>13</v>
      </c>
      <c r="AQ8" s="1"/>
    </row>
    <row r="9" spans="1:43" ht="24.95" customHeight="1">
      <c r="AJ9">
        <v>9</v>
      </c>
      <c r="AK9">
        <f t="shared" si="0"/>
        <v>10</v>
      </c>
      <c r="AL9">
        <f ca="1">SUMIF('Consolidated tables'!B:B,'Otterspool example'!$T$10,INDIRECT("'Consolidated tables'!"&amp;VLOOKUP(AJ9,AO:AP,2,FALSE)&amp;":"&amp;VLOOKUP(AJ9,AO:AP,2,FALSE)))</f>
        <v>0.37800521850585922</v>
      </c>
      <c r="AM9" s="1">
        <f ca="1">SUMIF('Consolidated tables'!B:B,'Otterspool example'!$T$14,INDIRECT("'Consolidated tables'!"&amp;VLOOKUP(AJ9,AO:AP,2,FALSE)&amp;":"&amp;VLOOKUP(AJ9,AO:AP,2,FALSE)))</f>
        <v>29.636365141296373</v>
      </c>
      <c r="AN9" s="1">
        <f ca="1">SUMIF('Consolidated tables'!B:B,'Otterspool example'!$T$15,INDIRECT("'Consolidated tables'!"&amp;VLOOKUP(AJ9,AO:AP,2,FALSE)&amp;":"&amp;VLOOKUP(AJ9,AO:AP,2,FALSE)))</f>
        <v>0</v>
      </c>
      <c r="AO9">
        <v>3</v>
      </c>
      <c r="AP9" t="s">
        <v>14</v>
      </c>
      <c r="AQ9" s="1"/>
    </row>
    <row r="10" spans="1:43" ht="26.25">
      <c r="A10" s="31" t="s">
        <v>72</v>
      </c>
      <c r="Q10" s="2"/>
      <c r="R10" s="2"/>
      <c r="S10" s="2"/>
      <c r="T10" s="3">
        <f ca="1">IF(COUNTA(D2:D8)=4,VLOOKUP(D39,AJ:AK,2,FALSE),"")</f>
        <v>30</v>
      </c>
      <c r="U10">
        <f ca="1">VLOOKUP(T10,'Consolidated tables'!B:G,6,FALSE)</f>
        <v>0.75531280517577992</v>
      </c>
      <c r="V10">
        <f ca="1">VLOOKUP(T10,'Consolidated tables'!B:G,6,FALSE)</f>
        <v>0.75531280517577992</v>
      </c>
      <c r="AJ10">
        <v>10</v>
      </c>
      <c r="AK10">
        <f t="shared" si="0"/>
        <v>10</v>
      </c>
      <c r="AL10">
        <f ca="1">SUMIF('Consolidated tables'!B:B,'Otterspool example'!$T$10,INDIRECT("'Consolidated tables'!"&amp;VLOOKUP(AJ10,AO:AP,2,FALSE)&amp;":"&amp;VLOOKUP(AJ10,AO:AP,2,FALSE)))</f>
        <v>0.34714344024658206</v>
      </c>
      <c r="AM10" s="1">
        <f ca="1">SUMIF('Consolidated tables'!B:B,'Otterspool example'!$T$14,INDIRECT("'Consolidated tables'!"&amp;VLOOKUP(AJ10,AO:AP,2,FALSE)&amp;":"&amp;VLOOKUP(AJ10,AO:AP,2,FALSE)))</f>
        <v>27.216740002212532</v>
      </c>
      <c r="AN10" s="1">
        <f ca="1">SUMIF('Consolidated tables'!B:B,'Otterspool example'!$T$15,INDIRECT("'Consolidated tables'!"&amp;VLOOKUP(AJ10,AO:AP,2,FALSE)&amp;":"&amp;VLOOKUP(AJ10,AO:AP,2,FALSE)))</f>
        <v>0</v>
      </c>
      <c r="AO10">
        <v>4</v>
      </c>
      <c r="AP10" t="s">
        <v>15</v>
      </c>
      <c r="AQ10" s="1"/>
    </row>
    <row r="11" spans="1:43" ht="20.100000000000001" customHeight="1">
      <c r="Q11" s="2"/>
      <c r="R11" s="2"/>
      <c r="S11" s="2"/>
      <c r="T11" s="3"/>
      <c r="AJ11">
        <v>11</v>
      </c>
      <c r="AK11">
        <f t="shared" si="0"/>
        <v>15</v>
      </c>
      <c r="AL11">
        <f ca="1">SUMIF('Consolidated tables'!B:B,'Otterspool example'!$T$10,INDIRECT("'Consolidated tables'!"&amp;VLOOKUP(AJ11,AO:AP,2,FALSE)&amp;":"&amp;VLOOKUP(AJ11,AO:AP,2,FALSE)))</f>
        <v>0.31895851135253922</v>
      </c>
      <c r="AM11" s="1">
        <f ca="1">SUMIF('Consolidated tables'!B:B,'Otterspool example'!$T$14,INDIRECT("'Consolidated tables'!"&amp;VLOOKUP(AJ11,AO:AP,2,FALSE)&amp;":"&amp;VLOOKUP(AJ11,AO:AP,2,FALSE)))</f>
        <v>25.006985207061781</v>
      </c>
      <c r="AN11" s="1">
        <f ca="1">SUMIF('Consolidated tables'!B:B,'Otterspool example'!$T$15,INDIRECT("'Consolidated tables'!"&amp;VLOOKUP(AJ11,AO:AP,2,FALSE)&amp;":"&amp;VLOOKUP(AJ11,AO:AP,2,FALSE)))</f>
        <v>0</v>
      </c>
      <c r="AO11">
        <v>5</v>
      </c>
      <c r="AP11" t="s">
        <v>16</v>
      </c>
      <c r="AQ11" s="1"/>
    </row>
    <row r="12" spans="1:43" ht="20.100000000000001" customHeight="1">
      <c r="Q12" s="13"/>
      <c r="R12" s="13"/>
      <c r="S12" s="13"/>
      <c r="T12" s="4">
        <f ca="1">T10+1</f>
        <v>31</v>
      </c>
      <c r="U12">
        <f ca="1">VLOOKUP(T12,'Consolidated tables'!B:H,7,FALSE)</f>
        <v>1.0257575062122866</v>
      </c>
      <c r="AJ12">
        <v>12</v>
      </c>
      <c r="AK12">
        <f t="shared" si="0"/>
        <v>15</v>
      </c>
      <c r="AL12">
        <f ca="1">SUMIF('Consolidated tables'!B:B,'Otterspool example'!$T$10,INDIRECT("'Consolidated tables'!"&amp;VLOOKUP(AJ12,AO:AP,2,FALSE)&amp;":"&amp;VLOOKUP(AJ12,AO:AP,2,FALSE)))</f>
        <v>0.29317466735839842</v>
      </c>
      <c r="AM12" s="1">
        <f ca="1">SUMIF('Consolidated tables'!B:B,'Otterspool example'!$T$14,INDIRECT("'Consolidated tables'!"&amp;VLOOKUP(AJ12,AO:AP,2,FALSE)&amp;":"&amp;VLOOKUP(AJ12,AO:AP,2,FALSE)))</f>
        <v>22.985480270233154</v>
      </c>
      <c r="AN12" s="1">
        <f ca="1">SUMIF('Consolidated tables'!B:B,'Otterspool example'!$T$15,INDIRECT("'Consolidated tables'!"&amp;VLOOKUP(AJ12,AO:AP,2,FALSE)&amp;":"&amp;VLOOKUP(AJ12,AO:AP,2,FALSE)))</f>
        <v>0</v>
      </c>
      <c r="AO12">
        <v>6</v>
      </c>
      <c r="AP12" t="s">
        <v>17</v>
      </c>
      <c r="AQ12" s="1"/>
    </row>
    <row r="13" spans="1:43" ht="20.100000000000001" customHeight="1">
      <c r="Q13" s="2"/>
      <c r="R13" s="2"/>
      <c r="S13" s="2"/>
      <c r="T13" s="4"/>
      <c r="AJ13">
        <v>13</v>
      </c>
      <c r="AK13">
        <f t="shared" si="0"/>
        <v>15</v>
      </c>
      <c r="AL13">
        <f ca="1">SUMIF('Consolidated tables'!B:B,'Otterspool example'!$T$10,INDIRECT("'Consolidated tables'!"&amp;VLOOKUP(AJ13,AO:AP,2,FALSE)&amp;":"&amp;VLOOKUP(AJ13,AO:AP,2,FALSE)))</f>
        <v>0.26956212997436518</v>
      </c>
      <c r="AM13" s="1">
        <f ca="1">SUMIF('Consolidated tables'!B:B,'Otterspool example'!$T$14,INDIRECT("'Consolidated tables'!"&amp;VLOOKUP(AJ13,AO:AP,2,FALSE)&amp;":"&amp;VLOOKUP(AJ13,AO:AP,2,FALSE)))</f>
        <v>21.134210114250177</v>
      </c>
      <c r="AN13" s="1">
        <f ca="1">SUMIF('Consolidated tables'!B:B,'Otterspool example'!$T$15,INDIRECT("'Consolidated tables'!"&amp;VLOOKUP(AJ13,AO:AP,2,FALSE)&amp;":"&amp;VLOOKUP(AJ13,AO:AP,2,FALSE)))</f>
        <v>0</v>
      </c>
      <c r="AO13">
        <v>7</v>
      </c>
      <c r="AP13" t="s">
        <v>18</v>
      </c>
      <c r="AQ13" s="1"/>
    </row>
    <row r="14" spans="1:43" ht="20.100000000000001" customHeight="1">
      <c r="Q14" s="2"/>
      <c r="R14" s="2"/>
      <c r="S14" s="2"/>
      <c r="T14" s="4">
        <f ca="1">T10+2</f>
        <v>32</v>
      </c>
      <c r="AJ14">
        <v>14</v>
      </c>
      <c r="AK14">
        <f t="shared" si="0"/>
        <v>15</v>
      </c>
      <c r="AL14">
        <f ca="1">SUMIF('Consolidated tables'!B:B,'Otterspool example'!$T$10,INDIRECT("'Consolidated tables'!"&amp;VLOOKUP(AJ14,AO:AP,2,FALSE)&amp;":"&amp;VLOOKUP(AJ14,AO:AP,2,FALSE)))</f>
        <v>0.24792236328125</v>
      </c>
      <c r="AM14" s="1">
        <f ca="1">SUMIF('Consolidated tables'!B:B,'Otterspool example'!$T$14,INDIRECT("'Consolidated tables'!"&amp;VLOOKUP(AJ14,AO:AP,2,FALSE)&amp;":"&amp;VLOOKUP(AJ14,AO:AP,2,FALSE)))</f>
        <v>19.437609125976564</v>
      </c>
      <c r="AN14" s="1">
        <f ca="1">SUMIF('Consolidated tables'!B:B,'Otterspool example'!$T$15,INDIRECT("'Consolidated tables'!"&amp;VLOOKUP(AJ14,AO:AP,2,FALSE)&amp;":"&amp;VLOOKUP(AJ14,AO:AP,2,FALSE)))</f>
        <v>0</v>
      </c>
      <c r="AO14">
        <v>8</v>
      </c>
      <c r="AP14" t="s">
        <v>19</v>
      </c>
      <c r="AQ14" s="1"/>
    </row>
    <row r="15" spans="1:43" ht="20.100000000000001" customHeight="1">
      <c r="Q15" s="2"/>
      <c r="R15" s="2"/>
      <c r="S15" s="2"/>
      <c r="T15" s="4">
        <v>18</v>
      </c>
      <c r="AJ15">
        <v>15</v>
      </c>
      <c r="AK15">
        <f t="shared" si="0"/>
        <v>15</v>
      </c>
      <c r="AL15">
        <f ca="1">SUMIF('Consolidated tables'!B:B,'Otterspool example'!$T$10,INDIRECT("'Consolidated tables'!"&amp;VLOOKUP(AJ15,AO:AP,2,FALSE)&amp;":"&amp;VLOOKUP(AJ15,AO:AP,2,FALSE)))</f>
        <v>0.22807994842529278</v>
      </c>
      <c r="AM15" s="1">
        <f ca="1">SUMIF('Consolidated tables'!B:B,'Otterspool example'!$T$14,INDIRECT("'Consolidated tables'!"&amp;VLOOKUP(AJ15,AO:AP,2,FALSE)&amp;":"&amp;VLOOKUP(AJ15,AO:AP,2,FALSE)))</f>
        <v>17.881924116439805</v>
      </c>
      <c r="AN15" s="1">
        <f ca="1">SUMIF('Consolidated tables'!B:B,'Otterspool example'!$T$15,INDIRECT("'Consolidated tables'!"&amp;VLOOKUP(AJ15,AO:AP,2,FALSE)&amp;":"&amp;VLOOKUP(AJ15,AO:AP,2,FALSE)))</f>
        <v>0</v>
      </c>
      <c r="AO15">
        <v>9</v>
      </c>
      <c r="AP15" t="s">
        <v>20</v>
      </c>
      <c r="AQ15" s="1"/>
    </row>
    <row r="16" spans="1:43" ht="20.100000000000001" customHeight="1">
      <c r="V16" t="s">
        <v>8</v>
      </c>
      <c r="W16" t="s">
        <v>89</v>
      </c>
      <c r="X16" s="9" t="s">
        <v>96</v>
      </c>
      <c r="Y16" s="10" t="s">
        <v>97</v>
      </c>
      <c r="Z16" t="s">
        <v>2</v>
      </c>
      <c r="AA16" t="s">
        <v>90</v>
      </c>
      <c r="AC16" t="s">
        <v>85</v>
      </c>
      <c r="AD16" s="40" t="s">
        <v>87</v>
      </c>
      <c r="AE16" s="10"/>
      <c r="AG16" s="10"/>
      <c r="AH16" s="10"/>
      <c r="AJ16">
        <v>16</v>
      </c>
      <c r="AK16">
        <f t="shared" si="0"/>
        <v>20</v>
      </c>
      <c r="AL16">
        <f ca="1">SUMIF('Consolidated tables'!B:B,'Otterspool example'!$T$10,INDIRECT("'Consolidated tables'!"&amp;VLOOKUP(AJ16,AO:AP,2,FALSE)&amp;":"&amp;VLOOKUP(AJ16,AO:AP,2,FALSE)))</f>
        <v>0.209877815246582</v>
      </c>
      <c r="AM16" s="1">
        <f ca="1">SUMIF('Consolidated tables'!B:B,'Otterspool example'!$T$14,INDIRECT("'Consolidated tables'!"&amp;VLOOKUP(AJ16,AO:AP,2,FALSE)&amp;":"&amp;VLOOKUP(AJ16,AO:AP,2,FALSE)))</f>
        <v>16.45484047096252</v>
      </c>
      <c r="AN16" s="1">
        <f ca="1">SUMIF('Consolidated tables'!B:B,'Otterspool example'!$T$15,INDIRECT("'Consolidated tables'!"&amp;VLOOKUP(AJ16,AO:AP,2,FALSE)&amp;":"&amp;VLOOKUP(AJ16,AO:AP,2,FALSE)))</f>
        <v>0</v>
      </c>
      <c r="AO16">
        <v>10</v>
      </c>
      <c r="AP16" t="s">
        <v>21</v>
      </c>
      <c r="AQ16" s="1"/>
    </row>
    <row r="17" spans="1:43" ht="20.100000000000001" customHeight="1">
      <c r="A17" s="11"/>
      <c r="D17" s="11"/>
      <c r="V17" s="1">
        <f>D6</f>
        <v>1981</v>
      </c>
      <c r="W17" s="1">
        <f ca="1">AL1*$D$8</f>
        <v>3021.2512207031195</v>
      </c>
      <c r="X17" s="1">
        <f ca="1">W17*1.33</f>
        <v>4018.2641235351493</v>
      </c>
      <c r="Y17" s="1">
        <f ca="1">W17*0.67</f>
        <v>2024.2383178710902</v>
      </c>
      <c r="Z17" s="1">
        <f ca="1">IF(V17=$D$2,1,0)</f>
        <v>0</v>
      </c>
      <c r="AA17" t="b">
        <f ca="1">IF(Z17=1,TRUE,FALSE)</f>
        <v>0</v>
      </c>
      <c r="AC17" s="1">
        <f t="shared" ref="AC17:AC66" ca="1" si="1">AM1*$D$8</f>
        <v>236872.13820556598</v>
      </c>
      <c r="AD17" s="1">
        <f ca="1">IF(AA17=TRUE,AC17,0)</f>
        <v>0</v>
      </c>
      <c r="AE17" s="1"/>
      <c r="AF17" s="1"/>
      <c r="AG17" s="1"/>
      <c r="AH17" s="1"/>
      <c r="AI17" s="1"/>
      <c r="AJ17">
        <v>17</v>
      </c>
      <c r="AK17">
        <f t="shared" si="0"/>
        <v>20</v>
      </c>
      <c r="AL17">
        <f ca="1">SUMIF('Consolidated tables'!B:B,'Otterspool example'!$T$10,INDIRECT("'Consolidated tables'!"&amp;VLOOKUP(AJ17,AO:AP,2,FALSE)&amp;":"&amp;VLOOKUP(AJ17,AO:AP,2,FALSE)))</f>
        <v>0.19317426681518557</v>
      </c>
      <c r="AM17" s="1">
        <f ca="1">SUMIF('Consolidated tables'!B:B,'Otterspool example'!$T$14,INDIRECT("'Consolidated tables'!"&amp;VLOOKUP(AJ17,AO:AP,2,FALSE)&amp;":"&amp;VLOOKUP(AJ17,AO:AP,2,FALSE)))</f>
        <v>15.145248866844177</v>
      </c>
      <c r="AN17" s="1">
        <f ca="1">SUMIF('Consolidated tables'!B:B,'Otterspool example'!$T$15,INDIRECT("'Consolidated tables'!"&amp;VLOOKUP(AJ17,AO:AP,2,FALSE)&amp;":"&amp;VLOOKUP(AJ17,AO:AP,2,FALSE)))</f>
        <v>0</v>
      </c>
      <c r="AO17">
        <v>11</v>
      </c>
      <c r="AP17" t="s">
        <v>22</v>
      </c>
      <c r="AQ17" s="1"/>
    </row>
    <row r="18" spans="1:43" ht="20.100000000000001" customHeight="1">
      <c r="A18" s="11"/>
      <c r="D18" s="11"/>
      <c r="V18" s="1">
        <f>V17+1</f>
        <v>1982</v>
      </c>
      <c r="W18" s="1">
        <f t="shared" ref="W18:W66" ca="1" si="2">AL2*$D$8</f>
        <v>2945.3854370117119</v>
      </c>
      <c r="X18" s="1">
        <f t="shared" ref="X18:X66" ca="1" si="3">W18*1.33</f>
        <v>3917.3626312255769</v>
      </c>
      <c r="Y18" s="1">
        <f t="shared" ref="Y18:Y66" ca="1" si="4">W18*0.67</f>
        <v>1973.4082427978472</v>
      </c>
      <c r="Z18" s="1">
        <f t="shared" ref="Z18:Z66" ca="1" si="5">IF(V18=$D$2,1,0)</f>
        <v>0</v>
      </c>
      <c r="AA18" t="b">
        <f ca="1">IF(Z18=1,TRUE,IF(AA17=TRUE,TRUE,FALSE))</f>
        <v>0</v>
      </c>
      <c r="AC18" s="1">
        <f t="shared" ca="1" si="1"/>
        <v>230924.1090325923</v>
      </c>
      <c r="AD18" s="1">
        <f t="shared" ref="AD18:AD66" ca="1" si="6">IF(AA18=TRUE,AC18,0)</f>
        <v>0</v>
      </c>
      <c r="AE18" s="1"/>
      <c r="AF18" s="1"/>
      <c r="AG18" s="1"/>
      <c r="AH18" s="1"/>
      <c r="AI18" s="1"/>
      <c r="AJ18">
        <v>18</v>
      </c>
      <c r="AK18">
        <f t="shared" si="0"/>
        <v>20</v>
      </c>
      <c r="AL18">
        <f ca="1">SUMIF('Consolidated tables'!B:B,'Otterspool example'!$T$10,INDIRECT("'Consolidated tables'!"&amp;VLOOKUP(AJ18,AO:AP,2,FALSE)&amp;":"&amp;VLOOKUP(AJ18,AO:AP,2,FALSE)))</f>
        <v>0.17784088134765638</v>
      </c>
      <c r="AM18" s="1">
        <f ca="1">SUMIF('Consolidated tables'!B:B,'Otterspool example'!$T$14,INDIRECT("'Consolidated tables'!"&amp;VLOOKUP(AJ18,AO:AP,2,FALSE)&amp;":"&amp;VLOOKUP(AJ18,AO:AP,2,FALSE)))</f>
        <v>13.943080779418954</v>
      </c>
      <c r="AN18" s="1">
        <f ca="1">SUMIF('Consolidated tables'!B:B,'Otterspool example'!$T$15,INDIRECT("'Consolidated tables'!"&amp;VLOOKUP(AJ18,AO:AP,2,FALSE)&amp;":"&amp;VLOOKUP(AJ18,AO:AP,2,FALSE)))</f>
        <v>0</v>
      </c>
      <c r="AO18">
        <v>12</v>
      </c>
      <c r="AP18" t="s">
        <v>23</v>
      </c>
      <c r="AQ18" s="1"/>
    </row>
    <row r="19" spans="1:43">
      <c r="V19" s="1">
        <f t="shared" ref="V19:V66" si="7">V18+1</f>
        <v>1983</v>
      </c>
      <c r="W19" s="1">
        <f t="shared" ca="1" si="2"/>
        <v>2630.244445800784</v>
      </c>
      <c r="X19" s="1">
        <f t="shared" ca="1" si="3"/>
        <v>3498.2251129150427</v>
      </c>
      <c r="Y19" s="1">
        <f t="shared" ca="1" si="4"/>
        <v>1762.2637786865255</v>
      </c>
      <c r="Z19" s="1">
        <f t="shared" ca="1" si="5"/>
        <v>0</v>
      </c>
      <c r="AA19" t="b">
        <f t="shared" ref="AA19:AA66" ca="1" si="8">IF(Z19=1,TRUE,IF(AA18=TRUE,TRUE,FALSE))</f>
        <v>0</v>
      </c>
      <c r="AC19" s="1">
        <f t="shared" ca="1" si="1"/>
        <v>206216.42503967311</v>
      </c>
      <c r="AD19" s="1">
        <f t="shared" ca="1" si="6"/>
        <v>0</v>
      </c>
      <c r="AE19" s="1"/>
      <c r="AF19" s="1"/>
      <c r="AG19" s="1"/>
      <c r="AH19" s="1"/>
      <c r="AI19" s="1"/>
      <c r="AJ19">
        <v>19</v>
      </c>
      <c r="AK19">
        <f>AK14+5</f>
        <v>20</v>
      </c>
      <c r="AL19">
        <f ca="1">SUMIF('Consolidated tables'!B:B,'Otterspool example'!$T$10,INDIRECT("'Consolidated tables'!"&amp;VLOOKUP(AJ19,AO:AP,2,FALSE)&amp;":"&amp;VLOOKUP(AJ19,AO:AP,2,FALSE)))</f>
        <v>0.16376091003417961</v>
      </c>
      <c r="AM19" s="1">
        <f ca="1">SUMIF('Consolidated tables'!B:B,'Otterspool example'!$T$14,INDIRECT("'Consolidated tables'!"&amp;VLOOKUP(AJ19,AO:AP,2,FALSE)&amp;":"&amp;VLOOKUP(AJ19,AO:AP,2,FALSE)))</f>
        <v>12.83918286849975</v>
      </c>
      <c r="AN19" s="1">
        <f ca="1">SUMIF('Consolidated tables'!B:B,'Otterspool example'!$T$15,INDIRECT("'Consolidated tables'!"&amp;VLOOKUP(AJ19,AO:AP,2,FALSE)&amp;":"&amp;VLOOKUP(AJ19,AO:AP,2,FALSE)))</f>
        <v>0</v>
      </c>
      <c r="AO19">
        <v>13</v>
      </c>
      <c r="AP19" t="s">
        <v>24</v>
      </c>
      <c r="AQ19" s="1"/>
    </row>
    <row r="20" spans="1:43">
      <c r="V20" s="1">
        <f t="shared" si="7"/>
        <v>1984</v>
      </c>
      <c r="W20" s="1">
        <f ca="1">AL4*$D$8</f>
        <v>2368.7265014648478</v>
      </c>
      <c r="X20" s="1">
        <f t="shared" ca="1" si="3"/>
        <v>3150.4062469482478</v>
      </c>
      <c r="Y20" s="1">
        <f t="shared" ca="1" si="4"/>
        <v>1587.0467559814481</v>
      </c>
      <c r="Z20" s="1">
        <f t="shared" ca="1" si="5"/>
        <v>0</v>
      </c>
      <c r="AA20" t="b">
        <f t="shared" ca="1" si="8"/>
        <v>0</v>
      </c>
      <c r="AC20" s="1">
        <f t="shared" ca="1" si="1"/>
        <v>185712.89516784699</v>
      </c>
      <c r="AD20" s="1">
        <f t="shared" ca="1" si="6"/>
        <v>0</v>
      </c>
      <c r="AE20" s="1"/>
      <c r="AF20" s="1"/>
      <c r="AG20" s="1"/>
      <c r="AH20" s="1"/>
      <c r="AI20" s="1"/>
      <c r="AJ20">
        <v>20</v>
      </c>
      <c r="AK20">
        <f>AK15+5</f>
        <v>20</v>
      </c>
      <c r="AL20">
        <f ca="1">SUMIF('Consolidated tables'!B:B,'Otterspool example'!$T$10,INDIRECT("'Consolidated tables'!"&amp;VLOOKUP(AJ20,AO:AP,2,FALSE)&amp;":"&amp;VLOOKUP(AJ20,AO:AP,2,FALSE)))</f>
        <v>0.1508281230926512</v>
      </c>
      <c r="AM20" s="1">
        <f ca="1">SUMIF('Consolidated tables'!B:B,'Otterspool example'!$T$14,INDIRECT("'Consolidated tables'!"&amp;VLOOKUP(AJ20,AO:AP,2,FALSE)&amp;":"&amp;VLOOKUP(AJ20,AO:AP,2,FALSE)))</f>
        <v>11.825226506710038</v>
      </c>
      <c r="AN20" s="1">
        <f ca="1">SUMIF('Consolidated tables'!B:B,'Otterspool example'!$T$15,INDIRECT("'Consolidated tables'!"&amp;VLOOKUP(AJ20,AO:AP,2,FALSE)&amp;":"&amp;VLOOKUP(AJ20,AO:AP,2,FALSE)))</f>
        <v>0</v>
      </c>
      <c r="AO20">
        <v>14</v>
      </c>
      <c r="AP20" t="s">
        <v>25</v>
      </c>
      <c r="AQ20" s="1"/>
    </row>
    <row r="21" spans="1:43">
      <c r="V21" s="1">
        <f t="shared" si="7"/>
        <v>1985</v>
      </c>
      <c r="W21" s="1">
        <f ca="1">AL5*$D$8</f>
        <v>2151.4067077636637</v>
      </c>
      <c r="X21" s="1">
        <f t="shared" ca="1" si="3"/>
        <v>2861.370921325673</v>
      </c>
      <c r="Y21" s="1">
        <f t="shared" ca="1" si="4"/>
        <v>1441.4424942016547</v>
      </c>
      <c r="Z21" s="1">
        <f t="shared" ca="1" si="5"/>
        <v>0</v>
      </c>
      <c r="AA21" t="b">
        <f t="shared" ca="1" si="8"/>
        <v>0</v>
      </c>
      <c r="AC21" s="1">
        <f t="shared" ca="1" si="1"/>
        <v>168674.5887020868</v>
      </c>
      <c r="AD21" s="1">
        <f t="shared" ca="1" si="6"/>
        <v>0</v>
      </c>
      <c r="AE21" s="1"/>
      <c r="AF21" s="1"/>
      <c r="AG21" s="1"/>
      <c r="AH21" s="1"/>
      <c r="AI21" s="1"/>
      <c r="AJ21">
        <v>21</v>
      </c>
      <c r="AK21">
        <f>AK16+5</f>
        <v>25</v>
      </c>
      <c r="AL21">
        <f ca="1">SUMIF('Consolidated tables'!B:B,'Otterspool example'!$T$10,INDIRECT("'Consolidated tables'!"&amp;VLOOKUP(AJ21,AO:AP,2,FALSE)&amp;":"&amp;VLOOKUP(AJ21,AO:AP,2,FALSE)))</f>
        <v>0.13894573211669919</v>
      </c>
      <c r="AM21" s="1">
        <f ca="1">SUMIF('Consolidated tables'!B:B,'Otterspool example'!$T$14,INDIRECT("'Consolidated tables'!"&amp;VLOOKUP(AJ21,AO:AP,2,FALSE)&amp;":"&amp;VLOOKUP(AJ21,AO:AP,2,FALSE)))</f>
        <v>10.893623289413451</v>
      </c>
      <c r="AN21" s="1">
        <f ca="1">SUMIF('Consolidated tables'!B:B,'Otterspool example'!$T$15,INDIRECT("'Consolidated tables'!"&amp;VLOOKUP(AJ21,AO:AP,2,FALSE)&amp;":"&amp;VLOOKUP(AJ21,AO:AP,2,FALSE)))</f>
        <v>0</v>
      </c>
      <c r="AO21">
        <v>15</v>
      </c>
      <c r="AP21" t="s">
        <v>26</v>
      </c>
      <c r="AQ21" s="1"/>
    </row>
    <row r="22" spans="1:43">
      <c r="V22" s="1">
        <f t="shared" si="7"/>
        <v>1986</v>
      </c>
      <c r="W22" s="1">
        <f t="shared" ca="1" si="2"/>
        <v>1963.548736572272</v>
      </c>
      <c r="X22" s="1">
        <f t="shared" ca="1" si="3"/>
        <v>2611.519819641122</v>
      </c>
      <c r="Y22" s="1">
        <f t="shared" ca="1" si="4"/>
        <v>1315.5776535034224</v>
      </c>
      <c r="Z22" s="1">
        <f t="shared" ca="1" si="5"/>
        <v>0</v>
      </c>
      <c r="AA22" t="b">
        <f t="shared" ca="1" si="8"/>
        <v>0</v>
      </c>
      <c r="AC22" s="1">
        <f t="shared" ca="1" si="1"/>
        <v>153946.14804473927</v>
      </c>
      <c r="AD22" s="1">
        <f t="shared" ca="1" si="6"/>
        <v>0</v>
      </c>
      <c r="AE22" s="1"/>
      <c r="AF22" s="1"/>
      <c r="AG22" s="1"/>
      <c r="AH22" s="1"/>
      <c r="AI22" s="1"/>
      <c r="AJ22">
        <v>22</v>
      </c>
      <c r="AK22">
        <f>AK17+5</f>
        <v>25</v>
      </c>
      <c r="AL22">
        <f ca="1">SUMIF('Consolidated tables'!B:B,'Otterspool example'!$T$10,INDIRECT("'Consolidated tables'!"&amp;VLOOKUP(AJ22,AO:AP,2,FALSE)&amp;":"&amp;VLOOKUP(AJ22,AO:AP,2,FALSE)))</f>
        <v>0.12802542686462401</v>
      </c>
      <c r="AM22" s="1">
        <f ca="1">SUMIF('Consolidated tables'!B:B,'Otterspool example'!$T$14,INDIRECT("'Consolidated tables'!"&amp;VLOOKUP(AJ22,AO:AP,2,FALSE)&amp;":"&amp;VLOOKUP(AJ22,AO:AP,2,FALSE)))</f>
        <v>10.037449517040251</v>
      </c>
      <c r="AN22" s="1">
        <f ca="1">SUMIF('Consolidated tables'!B:B,'Otterspool example'!$T$15,INDIRECT("'Consolidated tables'!"&amp;VLOOKUP(AJ22,AO:AP,2,FALSE)&amp;":"&amp;VLOOKUP(AJ22,AO:AP,2,FALSE)))</f>
        <v>0</v>
      </c>
      <c r="AO22">
        <v>16</v>
      </c>
      <c r="AP22" t="s">
        <v>27</v>
      </c>
      <c r="AQ22" s="1"/>
    </row>
    <row r="23" spans="1:43">
      <c r="V23" s="1">
        <f t="shared" si="7"/>
        <v>1987</v>
      </c>
      <c r="W23" s="1">
        <f t="shared" ca="1" si="2"/>
        <v>1797.1369934082079</v>
      </c>
      <c r="X23" s="1">
        <f t="shared" ca="1" si="3"/>
        <v>2390.1922012329164</v>
      </c>
      <c r="Y23" s="1">
        <f t="shared" ca="1" si="4"/>
        <v>1204.0817855834994</v>
      </c>
      <c r="Z23" s="1">
        <f t="shared" ca="1" si="5"/>
        <v>0</v>
      </c>
      <c r="AA23" t="b">
        <f t="shared" ca="1" si="8"/>
        <v>0</v>
      </c>
      <c r="AC23" s="1">
        <f t="shared" ca="1" si="1"/>
        <v>140899.13455719032</v>
      </c>
      <c r="AD23" s="1">
        <f t="shared" ca="1" si="6"/>
        <v>0</v>
      </c>
      <c r="AE23" s="1"/>
      <c r="AF23" s="1"/>
      <c r="AG23" s="1"/>
      <c r="AH23" s="1"/>
      <c r="AI23" s="1"/>
      <c r="AJ23">
        <v>23</v>
      </c>
      <c r="AK23">
        <f>AK18+5</f>
        <v>25</v>
      </c>
      <c r="AL23">
        <f ca="1">SUMIF('Consolidated tables'!B:B,'Otterspool example'!$T$10,INDIRECT("'Consolidated tables'!"&amp;VLOOKUP(AJ23,AO:AP,2,FALSE)&amp;":"&amp;VLOOKUP(AJ23,AO:AP,2,FALSE)))</f>
        <v>0.11798666000366201</v>
      </c>
      <c r="AM23" s="1">
        <f ca="1">SUMIF('Consolidated tables'!B:B,'Otterspool example'!$T$14,INDIRECT("'Consolidated tables'!"&amp;VLOOKUP(AJ23,AO:AP,2,FALSE)&amp;":"&amp;VLOOKUP(AJ23,AO:AP,2,FALSE)))</f>
        <v>9.2503901176071093</v>
      </c>
      <c r="AN23" s="1">
        <f ca="1">SUMIF('Consolidated tables'!B:B,'Otterspool example'!$T$15,INDIRECT("'Consolidated tables'!"&amp;VLOOKUP(AJ23,AO:AP,2,FALSE)&amp;":"&amp;VLOOKUP(AJ23,AO:AP,2,FALSE)))</f>
        <v>0</v>
      </c>
      <c r="AO23">
        <v>17</v>
      </c>
      <c r="AP23" t="s">
        <v>28</v>
      </c>
      <c r="AQ23" s="1"/>
    </row>
    <row r="24" spans="1:43">
      <c r="V24" s="1">
        <f t="shared" si="7"/>
        <v>1988</v>
      </c>
      <c r="W24" s="1">
        <f t="shared" ca="1" si="2"/>
        <v>1647.573089599616</v>
      </c>
      <c r="X24" s="1">
        <f t="shared" ca="1" si="3"/>
        <v>2191.2722091674896</v>
      </c>
      <c r="Y24" s="1">
        <f t="shared" ca="1" si="4"/>
        <v>1103.8739700317428</v>
      </c>
      <c r="Z24" s="1">
        <f t="shared" ca="1" si="5"/>
        <v>0</v>
      </c>
      <c r="AA24" t="b">
        <f t="shared" ca="1" si="8"/>
        <v>0</v>
      </c>
      <c r="AC24" s="1">
        <f t="shared" ca="1" si="1"/>
        <v>129173.02537078911</v>
      </c>
      <c r="AD24" s="1">
        <f t="shared" ca="1" si="6"/>
        <v>0</v>
      </c>
      <c r="AE24" s="1"/>
      <c r="AF24" s="1"/>
      <c r="AG24" s="1"/>
      <c r="AH24" s="1"/>
      <c r="AI24" s="1"/>
      <c r="AJ24">
        <v>24</v>
      </c>
      <c r="AK24">
        <f t="shared" si="0"/>
        <v>25</v>
      </c>
      <c r="AL24">
        <f ca="1">SUMIF('Consolidated tables'!B:B,'Otterspool example'!$T$10,INDIRECT("'Consolidated tables'!"&amp;VLOOKUP(AJ24,AO:AP,2,FALSE)&amp;":"&amp;VLOOKUP(AJ24,AO:AP,2,FALSE)))</f>
        <v>0.1087558841705324</v>
      </c>
      <c r="AM24" s="1">
        <f ca="1">SUMIF('Consolidated tables'!B:B,'Otterspool example'!$T$14,INDIRECT("'Consolidated tables'!"&amp;VLOOKUP(AJ24,AO:AP,2,FALSE)&amp;":"&amp;VLOOKUP(AJ24,AO:AP,2,FALSE)))</f>
        <v>8.5266788307380796</v>
      </c>
      <c r="AN24" s="1">
        <f ca="1">SUMIF('Consolidated tables'!B:B,'Otterspool example'!$T$15,INDIRECT("'Consolidated tables'!"&amp;VLOOKUP(AJ24,AO:AP,2,FALSE)&amp;":"&amp;VLOOKUP(AJ24,AO:AP,2,FALSE)))</f>
        <v>0</v>
      </c>
      <c r="AO24">
        <v>18</v>
      </c>
      <c r="AP24" t="s">
        <v>29</v>
      </c>
      <c r="AQ24" s="1"/>
    </row>
    <row r="25" spans="1:43">
      <c r="V25" s="1">
        <f t="shared" si="7"/>
        <v>1989</v>
      </c>
      <c r="W25" s="1">
        <f t="shared" ca="1" si="2"/>
        <v>1512.0208740234368</v>
      </c>
      <c r="X25" s="1">
        <f t="shared" ca="1" si="3"/>
        <v>2010.987762451171</v>
      </c>
      <c r="Y25" s="1">
        <f t="shared" ca="1" si="4"/>
        <v>1013.0539855957028</v>
      </c>
      <c r="Z25" s="1">
        <f t="shared" ca="1" si="5"/>
        <v>0</v>
      </c>
      <c r="AA25" t="b">
        <f t="shared" ca="1" si="8"/>
        <v>0</v>
      </c>
      <c r="AC25" s="1">
        <f t="shared" ca="1" si="1"/>
        <v>118545.46056518549</v>
      </c>
      <c r="AD25" s="1">
        <f t="shared" ca="1" si="6"/>
        <v>0</v>
      </c>
      <c r="AE25" s="1"/>
      <c r="AF25" s="1"/>
      <c r="AG25" s="1"/>
      <c r="AH25" s="1"/>
      <c r="AI25" s="1"/>
      <c r="AJ25">
        <v>25</v>
      </c>
      <c r="AK25">
        <f t="shared" si="0"/>
        <v>25</v>
      </c>
      <c r="AL25">
        <f ca="1">SUMIF('Consolidated tables'!B:B,'Otterspool example'!$T$10,INDIRECT("'Consolidated tables'!"&amp;VLOOKUP(AJ25,AO:AP,2,FALSE)&amp;":"&amp;VLOOKUP(AJ25,AO:AP,2,FALSE)))</f>
        <v>0.10026595115661641</v>
      </c>
      <c r="AM25" s="1">
        <f ca="1">SUMIF('Consolidated tables'!B:B,'Otterspool example'!$T$14,INDIRECT("'Consolidated tables'!"&amp;VLOOKUP(AJ25,AO:AP,2,FALSE)&amp;":"&amp;VLOOKUP(AJ25,AO:AP,2,FALSE)))</f>
        <v>7.8610511025810386</v>
      </c>
      <c r="AN25" s="1">
        <f ca="1">SUMIF('Consolidated tables'!B:B,'Otterspool example'!$T$15,INDIRECT("'Consolidated tables'!"&amp;VLOOKUP(AJ25,AO:AP,2,FALSE)&amp;":"&amp;VLOOKUP(AJ25,AO:AP,2,FALSE)))</f>
        <v>0</v>
      </c>
      <c r="AO25">
        <v>19</v>
      </c>
      <c r="AP25" t="s">
        <v>30</v>
      </c>
      <c r="AQ25" s="1"/>
    </row>
    <row r="26" spans="1:43">
      <c r="V26" s="1">
        <f t="shared" si="7"/>
        <v>1990</v>
      </c>
      <c r="W26" s="1">
        <f t="shared" ca="1" si="2"/>
        <v>1388.5737609863281</v>
      </c>
      <c r="X26" s="1">
        <f t="shared" ca="1" si="3"/>
        <v>1846.8031021118165</v>
      </c>
      <c r="Y26" s="1">
        <f t="shared" ca="1" si="4"/>
        <v>930.34441986083993</v>
      </c>
      <c r="Z26" s="1">
        <f t="shared" ca="1" si="5"/>
        <v>0</v>
      </c>
      <c r="AA26" t="b">
        <f t="shared" ca="1" si="8"/>
        <v>0</v>
      </c>
      <c r="AC26" s="1">
        <f t="shared" ca="1" si="1"/>
        <v>108866.96000885013</v>
      </c>
      <c r="AD26" s="1">
        <f t="shared" ca="1" si="6"/>
        <v>0</v>
      </c>
      <c r="AE26" s="1"/>
      <c r="AF26" s="1"/>
      <c r="AG26" s="1"/>
      <c r="AH26" s="1"/>
      <c r="AI26" s="1"/>
      <c r="AJ26">
        <v>26</v>
      </c>
      <c r="AK26">
        <f t="shared" si="0"/>
        <v>30</v>
      </c>
      <c r="AL26">
        <f ca="1">SUMIF('Consolidated tables'!B:B,'Otterspool example'!$T$10,INDIRECT("'Consolidated tables'!"&amp;VLOOKUP(AJ26,AO:AP,2,FALSE)&amp;":"&amp;VLOOKUP(AJ26,AO:AP,2,FALSE)))</f>
        <v>9.2455472946166795E-2</v>
      </c>
      <c r="AM26" s="1">
        <f ca="1">SUMIF('Consolidated tables'!B:B,'Otterspool example'!$T$14,INDIRECT("'Consolidated tables'!"&amp;VLOOKUP(AJ26,AO:AP,2,FALSE)&amp;":"&amp;VLOOKUP(AJ26,AO:AP,2,FALSE)))</f>
        <v>7.2486939899253686</v>
      </c>
      <c r="AN26" s="1">
        <f ca="1">SUMIF('Consolidated tables'!B:B,'Otterspool example'!$T$15,INDIRECT("'Consolidated tables'!"&amp;VLOOKUP(AJ26,AO:AP,2,FALSE)&amp;":"&amp;VLOOKUP(AJ26,AO:AP,2,FALSE)))</f>
        <v>0</v>
      </c>
      <c r="AO26">
        <v>20</v>
      </c>
      <c r="AP26" t="s">
        <v>31</v>
      </c>
      <c r="AQ26" s="1"/>
    </row>
    <row r="27" spans="1:43">
      <c r="V27" s="1">
        <f t="shared" si="7"/>
        <v>1991</v>
      </c>
      <c r="W27" s="1">
        <f t="shared" ca="1" si="2"/>
        <v>1275.8340454101569</v>
      </c>
      <c r="X27" s="1">
        <f t="shared" ca="1" si="3"/>
        <v>1696.8592803955089</v>
      </c>
      <c r="Y27" s="1">
        <f t="shared" ca="1" si="4"/>
        <v>854.80881042480519</v>
      </c>
      <c r="Z27" s="1">
        <f t="shared" ca="1" si="5"/>
        <v>0</v>
      </c>
      <c r="AA27" t="b">
        <f t="shared" ca="1" si="8"/>
        <v>0</v>
      </c>
      <c r="AC27" s="1">
        <f t="shared" ca="1" si="1"/>
        <v>100027.94082824713</v>
      </c>
      <c r="AD27" s="1">
        <f t="shared" ca="1" si="6"/>
        <v>0</v>
      </c>
      <c r="AE27" s="1"/>
      <c r="AF27" s="1"/>
      <c r="AG27" s="1"/>
      <c r="AH27" s="1"/>
      <c r="AI27" s="1"/>
      <c r="AJ27">
        <v>27</v>
      </c>
      <c r="AK27">
        <f t="shared" si="0"/>
        <v>30</v>
      </c>
      <c r="AL27">
        <f ca="1">SUMIF('Consolidated tables'!B:B,'Otterspool example'!$T$10,INDIRECT("'Consolidated tables'!"&amp;VLOOKUP(AJ27,AO:AP,2,FALSE)&amp;":"&amp;VLOOKUP(AJ27,AO:AP,2,FALSE)))</f>
        <v>8.5268363952636803E-2</v>
      </c>
      <c r="AM27" s="1">
        <f ca="1">SUMIF('Consolidated tables'!B:B,'Otterspool example'!$T$14,INDIRECT("'Consolidated tables'!"&amp;VLOOKUP(AJ27,AO:AP,2,FALSE)&amp;":"&amp;VLOOKUP(AJ27,AO:AP,2,FALSE)))</f>
        <v>6.6852102706146308</v>
      </c>
      <c r="AN27" s="1">
        <f ca="1">SUMIF('Consolidated tables'!B:B,'Otterspool example'!$T$15,INDIRECT("'Consolidated tables'!"&amp;VLOOKUP(AJ27,AO:AP,2,FALSE)&amp;":"&amp;VLOOKUP(AJ27,AO:AP,2,FALSE)))</f>
        <v>0</v>
      </c>
      <c r="AO27">
        <v>21</v>
      </c>
      <c r="AP27" t="s">
        <v>32</v>
      </c>
      <c r="AQ27" s="1"/>
    </row>
    <row r="28" spans="1:43">
      <c r="V28" s="1">
        <f>V27+1</f>
        <v>1992</v>
      </c>
      <c r="W28" s="1">
        <f t="shared" ca="1" si="2"/>
        <v>1172.6986694335937</v>
      </c>
      <c r="X28" s="1">
        <f t="shared" ca="1" si="3"/>
        <v>1559.6892303466798</v>
      </c>
      <c r="Y28" s="1">
        <f t="shared" ca="1" si="4"/>
        <v>785.70810852050784</v>
      </c>
      <c r="Z28" s="1">
        <f t="shared" ca="1" si="5"/>
        <v>0</v>
      </c>
      <c r="AA28" t="b">
        <f t="shared" ca="1" si="8"/>
        <v>0</v>
      </c>
      <c r="AC28" s="1">
        <f t="shared" ca="1" si="1"/>
        <v>91941.921080932618</v>
      </c>
      <c r="AD28" s="1">
        <f t="shared" ca="1" si="6"/>
        <v>0</v>
      </c>
      <c r="AE28" s="1"/>
      <c r="AF28" s="1"/>
      <c r="AG28" s="1"/>
      <c r="AH28" s="1"/>
      <c r="AI28" s="1"/>
      <c r="AJ28">
        <v>28</v>
      </c>
      <c r="AK28">
        <f t="shared" si="0"/>
        <v>30</v>
      </c>
      <c r="AL28">
        <f ca="1">SUMIF('Consolidated tables'!B:B,'Otterspool example'!$T$10,INDIRECT("'Consolidated tables'!"&amp;VLOOKUP(AJ28,AO:AP,2,FALSE)&amp;":"&amp;VLOOKUP(AJ28,AO:AP,2,FALSE)))</f>
        <v>7.8653326034546001E-2</v>
      </c>
      <c r="AM28" s="1">
        <f ca="1">SUMIF('Consolidated tables'!B:B,'Otterspool example'!$T$14,INDIRECT("'Consolidated tables'!"&amp;VLOOKUP(AJ28,AO:AP,2,FALSE)&amp;":"&amp;VLOOKUP(AJ28,AO:AP,2,FALSE)))</f>
        <v>6.1665780677604758</v>
      </c>
      <c r="AN28" s="1">
        <f ca="1">SUMIF('Consolidated tables'!B:B,'Otterspool example'!$T$15,INDIRECT("'Consolidated tables'!"&amp;VLOOKUP(AJ28,AO:AP,2,FALSE)&amp;":"&amp;VLOOKUP(AJ28,AO:AP,2,FALSE)))</f>
        <v>0</v>
      </c>
      <c r="AO28">
        <v>22</v>
      </c>
      <c r="AP28" t="s">
        <v>33</v>
      </c>
      <c r="AQ28" s="1"/>
    </row>
    <row r="29" spans="1:43">
      <c r="V29" s="1">
        <f t="shared" si="7"/>
        <v>1993</v>
      </c>
      <c r="W29" s="1">
        <f t="shared" ca="1" si="2"/>
        <v>1078.2485198974607</v>
      </c>
      <c r="X29" s="1">
        <f t="shared" ca="1" si="3"/>
        <v>1434.0705314636227</v>
      </c>
      <c r="Y29" s="1">
        <f t="shared" ca="1" si="4"/>
        <v>722.42650833129869</v>
      </c>
      <c r="Z29" s="1">
        <f t="shared" ca="1" si="5"/>
        <v>0</v>
      </c>
      <c r="AA29" t="b">
        <f t="shared" ca="1" si="8"/>
        <v>0</v>
      </c>
      <c r="AC29" s="1">
        <f t="shared" ca="1" si="1"/>
        <v>84536.840457000711</v>
      </c>
      <c r="AD29" s="1">
        <f t="shared" ca="1" si="6"/>
        <v>0</v>
      </c>
      <c r="AE29" s="1"/>
      <c r="AF29" s="1"/>
      <c r="AG29" s="1"/>
      <c r="AH29" s="1"/>
      <c r="AI29" s="1"/>
      <c r="AJ29">
        <v>29</v>
      </c>
      <c r="AK29">
        <f t="shared" si="0"/>
        <v>30</v>
      </c>
      <c r="AL29">
        <f ca="1">SUMIF('Consolidated tables'!B:B,'Otterspool example'!$T$10,INDIRECT("'Consolidated tables'!"&amp;VLOOKUP(AJ29,AO:AP,2,FALSE)&amp;":"&amp;VLOOKUP(AJ29,AO:AP,2,FALSE)))</f>
        <v>7.2563452720642005E-2</v>
      </c>
      <c r="AM29" s="1">
        <f ca="1">SUMIF('Consolidated tables'!B:B,'Otterspool example'!$T$14,INDIRECT("'Consolidated tables'!"&amp;VLOOKUP(AJ29,AO:AP,2,FALSE)&amp;":"&amp;VLOOKUP(AJ29,AO:AP,2,FALSE)))</f>
        <v>5.689119820203774</v>
      </c>
      <c r="AN29" s="1">
        <f ca="1">SUMIF('Consolidated tables'!B:B,'Otterspool example'!$T$15,INDIRECT("'Consolidated tables'!"&amp;VLOOKUP(AJ29,AO:AP,2,FALSE)&amp;":"&amp;VLOOKUP(AJ29,AO:AP,2,FALSE)))</f>
        <v>0</v>
      </c>
      <c r="AO29">
        <v>23</v>
      </c>
      <c r="AP29" t="s">
        <v>34</v>
      </c>
      <c r="AQ29" s="1"/>
    </row>
    <row r="30" spans="1:43">
      <c r="V30" s="1">
        <f t="shared" si="7"/>
        <v>1994</v>
      </c>
      <c r="W30" s="1">
        <f t="shared" ca="1" si="2"/>
        <v>991.689453125</v>
      </c>
      <c r="X30" s="1">
        <f t="shared" ca="1" si="3"/>
        <v>1318.9469726562502</v>
      </c>
      <c r="Y30" s="1">
        <f t="shared" ca="1" si="4"/>
        <v>664.43193359375005</v>
      </c>
      <c r="Z30" s="1">
        <f t="shared" ca="1" si="5"/>
        <v>0</v>
      </c>
      <c r="AA30" t="b">
        <f t="shared" ca="1" si="8"/>
        <v>0</v>
      </c>
      <c r="AC30" s="1">
        <f t="shared" ca="1" si="1"/>
        <v>77750.436503906254</v>
      </c>
      <c r="AD30" s="1">
        <f t="shared" ca="1" si="6"/>
        <v>0</v>
      </c>
      <c r="AE30" s="1"/>
      <c r="AF30" s="1"/>
      <c r="AG30" s="1"/>
      <c r="AH30" s="1"/>
      <c r="AI30" s="1"/>
      <c r="AJ30">
        <v>30</v>
      </c>
      <c r="AK30">
        <f t="shared" si="0"/>
        <v>30</v>
      </c>
      <c r="AL30">
        <f ca="1">SUMIF('Consolidated tables'!B:B,'Otterspool example'!$T$10,INDIRECT("'Consolidated tables'!"&amp;VLOOKUP(AJ30,AO:AP,2,FALSE)&amp;":"&amp;VLOOKUP(AJ30,AO:AP,2,FALSE)))</f>
        <v>6.6955809593200799E-2</v>
      </c>
      <c r="AM30" s="1">
        <f ca="1">SUMIF('Consolidated tables'!B:B,'Otterspool example'!$T$14,INDIRECT("'Consolidated tables'!"&amp;VLOOKUP(AJ30,AO:AP,2,FALSE)&amp;":"&amp;VLOOKUP(AJ30,AO:AP,2,FALSE)))</f>
        <v>5.2494693837261286</v>
      </c>
      <c r="AN30" s="1">
        <f ca="1">SUMIF('Consolidated tables'!B:B,'Otterspool example'!$T$15,INDIRECT("'Consolidated tables'!"&amp;VLOOKUP(AJ30,AO:AP,2,FALSE)&amp;":"&amp;VLOOKUP(AJ30,AO:AP,2,FALSE)))</f>
        <v>0</v>
      </c>
      <c r="AO30">
        <v>24</v>
      </c>
      <c r="AP30" t="s">
        <v>35</v>
      </c>
      <c r="AQ30" s="1"/>
    </row>
    <row r="31" spans="1:43">
      <c r="V31" s="1">
        <f t="shared" si="7"/>
        <v>1995</v>
      </c>
      <c r="W31" s="1">
        <f t="shared" ca="1" si="2"/>
        <v>912.31979370117108</v>
      </c>
      <c r="X31" s="1">
        <f t="shared" ca="1" si="3"/>
        <v>1213.3853256225575</v>
      </c>
      <c r="Y31" s="1">
        <f t="shared" ca="1" si="4"/>
        <v>611.25426177978466</v>
      </c>
      <c r="Z31" s="1">
        <f t="shared" ca="1" si="5"/>
        <v>0</v>
      </c>
      <c r="AA31" t="b">
        <f t="shared" ca="1" si="8"/>
        <v>0</v>
      </c>
      <c r="AC31" s="1">
        <f t="shared" ca="1" si="1"/>
        <v>71527.696465759218</v>
      </c>
      <c r="AD31" s="1">
        <f t="shared" ca="1" si="6"/>
        <v>0</v>
      </c>
      <c r="AE31" s="1"/>
      <c r="AF31" s="1"/>
      <c r="AG31" s="1"/>
      <c r="AH31" s="1"/>
      <c r="AI31" s="1"/>
      <c r="AJ31">
        <v>31</v>
      </c>
      <c r="AK31">
        <f t="shared" si="0"/>
        <v>35</v>
      </c>
      <c r="AL31">
        <f ca="1">SUMIF('Consolidated tables'!B:B,'Otterspool example'!$T$10,INDIRECT("'Consolidated tables'!"&amp;VLOOKUP(AJ31,AO:AP,2,FALSE)&amp;":"&amp;VLOOKUP(AJ31,AO:AP,2,FALSE)))</f>
        <v>6.1791105270385602E-2</v>
      </c>
      <c r="AM31" s="1">
        <f ca="1">SUMIF('Consolidated tables'!B:B,'Otterspool example'!$T$14,INDIRECT("'Consolidated tables'!"&amp;VLOOKUP(AJ31,AO:AP,2,FALSE)&amp;":"&amp;VLOOKUP(AJ31,AO:AP,2,FALSE)))</f>
        <v>4.8445462354087718</v>
      </c>
      <c r="AN31" s="1">
        <f ca="1">SUMIF('Consolidated tables'!B:B,'Otterspool example'!$T$15,INDIRECT("'Consolidated tables'!"&amp;VLOOKUP(AJ31,AO:AP,2,FALSE)&amp;":"&amp;VLOOKUP(AJ31,AO:AP,2,FALSE)))</f>
        <v>0</v>
      </c>
      <c r="AO31">
        <v>25</v>
      </c>
      <c r="AP31" t="s">
        <v>36</v>
      </c>
      <c r="AQ31" s="1"/>
    </row>
    <row r="32" spans="1:43">
      <c r="V32" s="1">
        <f t="shared" si="7"/>
        <v>1996</v>
      </c>
      <c r="W32" s="1">
        <f t="shared" ca="1" si="2"/>
        <v>839.51126098632801</v>
      </c>
      <c r="X32" s="1">
        <f t="shared" ca="1" si="3"/>
        <v>1116.5499771118164</v>
      </c>
      <c r="Y32" s="1">
        <f t="shared" ca="1" si="4"/>
        <v>562.47254486083978</v>
      </c>
      <c r="Z32" s="1">
        <f t="shared" ca="1" si="5"/>
        <v>0</v>
      </c>
      <c r="AA32" t="b">
        <f t="shared" ca="1" si="8"/>
        <v>0</v>
      </c>
      <c r="AC32" s="1">
        <f t="shared" ca="1" si="1"/>
        <v>65819.361883850084</v>
      </c>
      <c r="AD32" s="1">
        <f t="shared" ca="1" si="6"/>
        <v>0</v>
      </c>
      <c r="AE32" s="1"/>
      <c r="AF32" s="1"/>
      <c r="AG32" s="1"/>
      <c r="AH32" s="1"/>
      <c r="AI32" s="1"/>
      <c r="AJ32">
        <v>32</v>
      </c>
      <c r="AK32">
        <f t="shared" si="0"/>
        <v>35</v>
      </c>
      <c r="AL32">
        <f ca="1">SUMIF('Consolidated tables'!B:B,'Otterspool example'!$T$10,INDIRECT("'Consolidated tables'!"&amp;VLOOKUP(AJ32,AO:AP,2,FALSE)&amp;":"&amp;VLOOKUP(AJ32,AO:AP,2,FALSE)))</f>
        <v>5.7033352851867593E-2</v>
      </c>
      <c r="AM32" s="1">
        <f ca="1">SUMIF('Consolidated tables'!B:B,'Otterspool example'!$T$14,INDIRECT("'Consolidated tables'!"&amp;VLOOKUP(AJ32,AO:AP,2,FALSE)&amp;":"&amp;VLOOKUP(AJ32,AO:AP,2,FALSE)))</f>
        <v>4.4715289302921226</v>
      </c>
      <c r="AN32" s="1">
        <f ca="1">SUMIF('Consolidated tables'!B:B,'Otterspool example'!$T$15,INDIRECT("'Consolidated tables'!"&amp;VLOOKUP(AJ32,AO:AP,2,FALSE)&amp;":"&amp;VLOOKUP(AJ32,AO:AP,2,FALSE)))</f>
        <v>0</v>
      </c>
      <c r="AO32">
        <v>26</v>
      </c>
      <c r="AP32" t="s">
        <v>37</v>
      </c>
      <c r="AQ32" s="1"/>
    </row>
    <row r="33" spans="1:43">
      <c r="V33" s="1">
        <f t="shared" si="7"/>
        <v>1997</v>
      </c>
      <c r="W33" s="1">
        <f t="shared" ca="1" si="2"/>
        <v>772.6970672607423</v>
      </c>
      <c r="X33" s="1">
        <f t="shared" ca="1" si="3"/>
        <v>1027.6870994567873</v>
      </c>
      <c r="Y33" s="1">
        <f t="shared" ca="1" si="4"/>
        <v>517.70703506469738</v>
      </c>
      <c r="Z33" s="1">
        <f t="shared" ca="1" si="5"/>
        <v>0</v>
      </c>
      <c r="AA33" t="b">
        <f t="shared" ca="1" si="8"/>
        <v>0</v>
      </c>
      <c r="AC33" s="1">
        <f t="shared" ca="1" si="1"/>
        <v>60580.995467376706</v>
      </c>
      <c r="AD33" s="1">
        <f t="shared" ca="1" si="6"/>
        <v>0</v>
      </c>
      <c r="AE33" s="1"/>
      <c r="AF33" s="1"/>
      <c r="AG33" s="1"/>
      <c r="AH33" s="1"/>
      <c r="AI33" s="1"/>
      <c r="AJ33">
        <v>33</v>
      </c>
      <c r="AK33">
        <f t="shared" si="0"/>
        <v>35</v>
      </c>
      <c r="AL33">
        <f ca="1">SUMIF('Consolidated tables'!B:B,'Otterspool example'!$T$10,INDIRECT("'Consolidated tables'!"&amp;VLOOKUP(AJ33,AO:AP,2,FALSE)&amp;":"&amp;VLOOKUP(AJ33,AO:AP,2,FALSE)))</f>
        <v>5.2649598121643201E-2</v>
      </c>
      <c r="AM33" s="1">
        <f ca="1">SUMIF('Consolidated tables'!B:B,'Otterspool example'!$T$14,INDIRECT("'Consolidated tables'!"&amp;VLOOKUP(AJ33,AO:AP,2,FALSE)&amp;":"&amp;VLOOKUP(AJ33,AO:AP,2,FALSE)))</f>
        <v>4.127833791933071</v>
      </c>
      <c r="AN33" s="1">
        <f ca="1">SUMIF('Consolidated tables'!B:B,'Otterspool example'!$T$15,INDIRECT("'Consolidated tables'!"&amp;VLOOKUP(AJ33,AO:AP,2,FALSE)&amp;":"&amp;VLOOKUP(AJ33,AO:AP,2,FALSE)))</f>
        <v>0</v>
      </c>
      <c r="AO33">
        <v>27</v>
      </c>
      <c r="AP33" t="s">
        <v>38</v>
      </c>
      <c r="AQ33" s="1"/>
    </row>
    <row r="34" spans="1:43">
      <c r="V34" s="1">
        <f t="shared" si="7"/>
        <v>1998</v>
      </c>
      <c r="W34" s="1">
        <f t="shared" ca="1" si="2"/>
        <v>711.36352539062557</v>
      </c>
      <c r="X34" s="1">
        <f t="shared" ca="1" si="3"/>
        <v>946.11348876953207</v>
      </c>
      <c r="Y34" s="1">
        <f t="shared" ca="1" si="4"/>
        <v>476.61356201171918</v>
      </c>
      <c r="Z34" s="1">
        <f t="shared" ca="1" si="5"/>
        <v>0</v>
      </c>
      <c r="AA34" t="b">
        <f t="shared" ca="1" si="8"/>
        <v>0</v>
      </c>
      <c r="AC34" s="1">
        <f t="shared" ca="1" si="1"/>
        <v>55772.32311767582</v>
      </c>
      <c r="AD34" s="1">
        <f t="shared" ca="1" si="6"/>
        <v>0</v>
      </c>
      <c r="AE34" s="1"/>
      <c r="AF34" s="1"/>
      <c r="AG34" s="1"/>
      <c r="AH34" s="1"/>
      <c r="AI34" s="1"/>
      <c r="AJ34">
        <v>34</v>
      </c>
      <c r="AK34">
        <f t="shared" si="0"/>
        <v>35</v>
      </c>
      <c r="AL34">
        <f ca="1">SUMIF('Consolidated tables'!B:B,'Otterspool example'!$T$10,INDIRECT("'Consolidated tables'!"&amp;VLOOKUP(AJ34,AO:AP,2,FALSE)&amp;":"&amp;VLOOKUP(AJ34,AO:AP,2,FALSE)))</f>
        <v>4.8609652519226006E-2</v>
      </c>
      <c r="AM34" s="1">
        <f ca="1">SUMIF('Consolidated tables'!B:B,'Otterspool example'!$T$14,INDIRECT("'Consolidated tables'!"&amp;VLOOKUP(AJ34,AO:AP,2,FALSE)&amp;":"&amp;VLOOKUP(AJ34,AO:AP,2,FALSE)))</f>
        <v>3.8110939768123568</v>
      </c>
      <c r="AN34" s="1">
        <f ca="1">SUMIF('Consolidated tables'!B:B,'Otterspool example'!$T$15,INDIRECT("'Consolidated tables'!"&amp;VLOOKUP(AJ34,AO:AP,2,FALSE)&amp;":"&amp;VLOOKUP(AJ34,AO:AP,2,FALSE)))</f>
        <v>0</v>
      </c>
      <c r="AO34">
        <v>28</v>
      </c>
      <c r="AP34" t="s">
        <v>39</v>
      </c>
      <c r="AQ34" s="1"/>
    </row>
    <row r="35" spans="1:43">
      <c r="V35" s="1">
        <f t="shared" si="7"/>
        <v>1999</v>
      </c>
      <c r="W35" s="1">
        <f t="shared" ca="1" si="2"/>
        <v>655.04364013671841</v>
      </c>
      <c r="X35" s="1">
        <f t="shared" ca="1" si="3"/>
        <v>871.20804138183553</v>
      </c>
      <c r="Y35" s="1">
        <f t="shared" ca="1" si="4"/>
        <v>438.87923889160135</v>
      </c>
      <c r="Z35" s="1">
        <f t="shared" ca="1" si="5"/>
        <v>0</v>
      </c>
      <c r="AA35" t="b">
        <f t="shared" ca="1" si="8"/>
        <v>0</v>
      </c>
      <c r="AC35" s="1">
        <f t="shared" ca="1" si="1"/>
        <v>51356.731473998996</v>
      </c>
      <c r="AD35" s="1">
        <f t="shared" ca="1" si="6"/>
        <v>0</v>
      </c>
      <c r="AE35" s="1"/>
      <c r="AF35" s="1"/>
      <c r="AG35" s="1"/>
      <c r="AH35" s="1"/>
      <c r="AI35" s="1"/>
      <c r="AJ35">
        <v>35</v>
      </c>
      <c r="AK35">
        <f t="shared" si="0"/>
        <v>35</v>
      </c>
      <c r="AL35">
        <f ca="1">SUMIF('Consolidated tables'!B:B,'Otterspool example'!$T$10,INDIRECT("'Consolidated tables'!"&amp;VLOOKUP(AJ35,AO:AP,2,FALSE)&amp;":"&amp;VLOOKUP(AJ35,AO:AP,2,FALSE)))</f>
        <v>4.4885826110840001E-2</v>
      </c>
      <c r="AM35" s="1">
        <f ca="1">SUMIF('Consolidated tables'!B:B,'Otterspool example'!$T$14,INDIRECT("'Consolidated tables'!"&amp;VLOOKUP(AJ35,AO:AP,2,FALSE)&amp;":"&amp;VLOOKUP(AJ35,AO:AP,2,FALSE)))</f>
        <v>3.5191385387420766</v>
      </c>
      <c r="AN35" s="1">
        <f ca="1">SUMIF('Consolidated tables'!B:B,'Otterspool example'!$T$15,INDIRECT("'Consolidated tables'!"&amp;VLOOKUP(AJ35,AO:AP,2,FALSE)&amp;":"&amp;VLOOKUP(AJ35,AO:AP,2,FALSE)))</f>
        <v>0</v>
      </c>
      <c r="AO35">
        <v>29</v>
      </c>
      <c r="AP35" t="s">
        <v>40</v>
      </c>
      <c r="AQ35" s="1"/>
    </row>
    <row r="36" spans="1:43">
      <c r="V36" s="1">
        <f t="shared" si="7"/>
        <v>2000</v>
      </c>
      <c r="W36" s="1">
        <f t="shared" ca="1" si="2"/>
        <v>603.31249237060479</v>
      </c>
      <c r="X36" s="1">
        <f t="shared" ca="1" si="3"/>
        <v>802.40561485290436</v>
      </c>
      <c r="Y36" s="1">
        <f t="shared" ca="1" si="4"/>
        <v>404.21936988830521</v>
      </c>
      <c r="Z36" s="1">
        <f t="shared" ca="1" si="5"/>
        <v>0</v>
      </c>
      <c r="AA36" t="b">
        <f t="shared" ca="1" si="8"/>
        <v>0</v>
      </c>
      <c r="AC36" s="1">
        <f t="shared" ca="1" si="1"/>
        <v>47300.906026840152</v>
      </c>
      <c r="AD36" s="1">
        <f t="shared" ca="1" si="6"/>
        <v>0</v>
      </c>
      <c r="AE36" s="1"/>
      <c r="AF36" s="1"/>
      <c r="AG36" s="1"/>
      <c r="AH36" s="1"/>
      <c r="AI36" s="1"/>
      <c r="AJ36">
        <v>36</v>
      </c>
      <c r="AK36">
        <f t="shared" si="0"/>
        <v>40</v>
      </c>
      <c r="AL36">
        <f ca="1">SUMIF('Consolidated tables'!B:B,'Otterspool example'!$T$10,INDIRECT("'Consolidated tables'!"&amp;VLOOKUP(AJ36,AO:AP,2,FALSE)&amp;":"&amp;VLOOKUP(AJ36,AO:AP,2,FALSE)))</f>
        <v>4.1452746391296397E-2</v>
      </c>
      <c r="AM36" s="1">
        <f ca="1">SUMIF('Consolidated tables'!B:B,'Otterspool example'!$T$14,INDIRECT("'Consolidated tables'!"&amp;VLOOKUP(AJ36,AO:AP,2,FALSE)&amp;":"&amp;VLOOKUP(AJ36,AO:AP,2,FALSE)))</f>
        <v>3.2499782225704195</v>
      </c>
      <c r="AN36" s="1">
        <f ca="1">SUMIF('Consolidated tables'!B:B,'Otterspool example'!$T$15,INDIRECT("'Consolidated tables'!"&amp;VLOOKUP(AJ36,AO:AP,2,FALSE)&amp;":"&amp;VLOOKUP(AJ36,AO:AP,2,FALSE)))</f>
        <v>0</v>
      </c>
      <c r="AO36">
        <v>30</v>
      </c>
      <c r="AP36" t="s">
        <v>41</v>
      </c>
      <c r="AQ36" s="1"/>
    </row>
    <row r="37" spans="1:43" ht="24.95" customHeight="1">
      <c r="A37" s="32" t="s">
        <v>92</v>
      </c>
      <c r="D37" s="1"/>
      <c r="V37" s="1">
        <f t="shared" si="7"/>
        <v>2001</v>
      </c>
      <c r="W37" s="1">
        <f t="shared" ca="1" si="2"/>
        <v>555.78292846679676</v>
      </c>
      <c r="X37" s="1">
        <f t="shared" ca="1" si="3"/>
        <v>739.19129486083978</v>
      </c>
      <c r="Y37" s="1">
        <f t="shared" ca="1" si="4"/>
        <v>372.37456207275386</v>
      </c>
      <c r="Z37" s="1">
        <f t="shared" ca="1" si="5"/>
        <v>0</v>
      </c>
      <c r="AA37" t="b">
        <f t="shared" ca="1" si="8"/>
        <v>0</v>
      </c>
      <c r="AC37" s="1">
        <f t="shared" ca="1" si="1"/>
        <v>43574.493157653807</v>
      </c>
      <c r="AD37" s="1">
        <f t="shared" ca="1" si="6"/>
        <v>0</v>
      </c>
      <c r="AE37" s="1"/>
      <c r="AF37" s="1"/>
      <c r="AG37" s="1"/>
      <c r="AH37" s="1"/>
      <c r="AI37" s="1"/>
      <c r="AJ37">
        <v>37</v>
      </c>
      <c r="AK37">
        <f t="shared" si="0"/>
        <v>40</v>
      </c>
      <c r="AL37">
        <f ca="1">SUMIF('Consolidated tables'!B:B,'Otterspool example'!$T$10,INDIRECT("'Consolidated tables'!"&amp;VLOOKUP(AJ37,AO:AP,2,FALSE)&amp;":"&amp;VLOOKUP(AJ37,AO:AP,2,FALSE)))</f>
        <v>3.82871413230896E-2</v>
      </c>
      <c r="AM37" s="1">
        <f ca="1">SUMIF('Consolidated tables'!B:B,'Otterspool example'!$T$14,INDIRECT("'Consolidated tables'!"&amp;VLOOKUP(AJ37,AO:AP,2,FALSE)&amp;":"&amp;VLOOKUP(AJ37,AO:AP,2,FALSE)))</f>
        <v>3.0017884540128708</v>
      </c>
      <c r="AN37" s="1">
        <f ca="1">SUMIF('Consolidated tables'!B:B,'Otterspool example'!$T$15,INDIRECT("'Consolidated tables'!"&amp;VLOOKUP(AJ37,AO:AP,2,FALSE)&amp;":"&amp;VLOOKUP(AJ37,AO:AP,2,FALSE)))</f>
        <v>0</v>
      </c>
      <c r="AO37">
        <v>31</v>
      </c>
      <c r="AP37" t="s">
        <v>42</v>
      </c>
      <c r="AQ37" s="1"/>
    </row>
    <row r="38" spans="1:43" ht="24.95" customHeight="1" thickBot="1">
      <c r="D38" s="11"/>
      <c r="V38" s="1">
        <f t="shared" si="7"/>
        <v>2002</v>
      </c>
      <c r="W38" s="1">
        <f t="shared" ca="1" si="2"/>
        <v>512.10170745849598</v>
      </c>
      <c r="X38" s="1">
        <f t="shared" ca="1" si="3"/>
        <v>681.09527091979965</v>
      </c>
      <c r="Y38" s="1">
        <f t="shared" ca="1" si="4"/>
        <v>343.10814399719231</v>
      </c>
      <c r="Z38" s="1">
        <f t="shared" ca="1" si="5"/>
        <v>0</v>
      </c>
      <c r="AA38" t="b">
        <f t="shared" ca="1" si="8"/>
        <v>0</v>
      </c>
      <c r="AC38" s="1">
        <f t="shared" ca="1" si="1"/>
        <v>40149.798068161006</v>
      </c>
      <c r="AD38" s="1">
        <f t="shared" ca="1" si="6"/>
        <v>0</v>
      </c>
      <c r="AE38" s="1"/>
      <c r="AF38" s="1"/>
      <c r="AG38" s="1"/>
      <c r="AH38" s="1"/>
      <c r="AI38" s="1"/>
      <c r="AJ38">
        <v>38</v>
      </c>
      <c r="AK38">
        <f t="shared" si="0"/>
        <v>40</v>
      </c>
      <c r="AL38">
        <f ca="1">SUMIF('Consolidated tables'!B:B,'Otterspool example'!$T$10,INDIRECT("'Consolidated tables'!"&amp;VLOOKUP(AJ38,AO:AP,2,FALSE)&amp;":"&amp;VLOOKUP(AJ38,AO:AP,2,FALSE)))</f>
        <v>3.5367655754089358E-2</v>
      </c>
      <c r="AM38" s="1">
        <f ca="1">SUMIF('Consolidated tables'!B:B,'Otterspool example'!$T$14,INDIRECT("'Consolidated tables'!"&amp;VLOOKUP(AJ38,AO:AP,2,FALSE)&amp;":"&amp;VLOOKUP(AJ38,AO:AP,2,FALSE)))</f>
        <v>2.7728949464321135</v>
      </c>
      <c r="AN38" s="1">
        <f ca="1">SUMIF('Consolidated tables'!B:B,'Otterspool example'!$T$15,INDIRECT("'Consolidated tables'!"&amp;VLOOKUP(AJ38,AO:AP,2,FALSE)&amp;":"&amp;VLOOKUP(AJ38,AO:AP,2,FALSE)))</f>
        <v>0</v>
      </c>
      <c r="AO38">
        <v>32</v>
      </c>
      <c r="AP38" t="s">
        <v>43</v>
      </c>
      <c r="AQ38" s="1"/>
    </row>
    <row r="39" spans="1:43" ht="24.95" customHeight="1" thickBot="1">
      <c r="A39" s="37" t="s">
        <v>100</v>
      </c>
      <c r="B39" s="71" t="s">
        <v>5</v>
      </c>
      <c r="C39" s="36"/>
      <c r="D39" s="72">
        <f>D6-D4</f>
        <v>30</v>
      </c>
      <c r="E39" s="36" t="s">
        <v>69</v>
      </c>
      <c r="H39" s="2"/>
      <c r="I39" s="2"/>
      <c r="J39" s="2"/>
      <c r="K39" s="2"/>
      <c r="L39" s="2"/>
      <c r="M39" s="2"/>
      <c r="N39" s="2"/>
      <c r="O39" s="2"/>
      <c r="P39" s="2"/>
      <c r="V39" s="1">
        <f t="shared" si="7"/>
        <v>2003</v>
      </c>
      <c r="W39" s="1">
        <f t="shared" ca="1" si="2"/>
        <v>471.94664001464804</v>
      </c>
      <c r="X39" s="1">
        <f t="shared" ca="1" si="3"/>
        <v>627.68903121948188</v>
      </c>
      <c r="Y39" s="1">
        <f t="shared" ca="1" si="4"/>
        <v>316.2042488098142</v>
      </c>
      <c r="Z39" s="1">
        <f t="shared" ca="1" si="5"/>
        <v>0</v>
      </c>
      <c r="AA39" t="b">
        <f t="shared" ca="1" si="8"/>
        <v>0</v>
      </c>
      <c r="AC39" s="1">
        <f t="shared" ca="1" si="1"/>
        <v>37001.560470428434</v>
      </c>
      <c r="AD39" s="1">
        <f t="shared" ca="1" si="6"/>
        <v>0</v>
      </c>
      <c r="AE39" s="1"/>
      <c r="AF39" s="1"/>
      <c r="AG39" s="1"/>
      <c r="AH39" s="1"/>
      <c r="AI39" s="1"/>
      <c r="AJ39">
        <v>39</v>
      </c>
      <c r="AK39">
        <f t="shared" si="0"/>
        <v>40</v>
      </c>
      <c r="AL39">
        <f ca="1">SUMIF('Consolidated tables'!B:B,'Otterspool example'!$T$10,INDIRECT("'Consolidated tables'!"&amp;VLOOKUP(AJ39,AO:AP,2,FALSE)&amp;":"&amp;VLOOKUP(AJ39,AO:AP,2,FALSE)))</f>
        <v>3.2674698829650878E-2</v>
      </c>
      <c r="AM39" s="1">
        <f ca="1">SUMIF('Consolidated tables'!B:B,'Otterspool example'!$T$14,INDIRECT("'Consolidated tables'!"&amp;VLOOKUP(AJ39,AO:AP,2,FALSE)&amp;":"&amp;VLOOKUP(AJ39,AO:AP,2,FALSE)))</f>
        <v>2.5617617376422883</v>
      </c>
      <c r="AN39" s="1">
        <f ca="1">SUMIF('Consolidated tables'!B:B,'Otterspool example'!$T$15,INDIRECT("'Consolidated tables'!"&amp;VLOOKUP(AJ39,AO:AP,2,FALSE)&amp;":"&amp;VLOOKUP(AJ39,AO:AP,2,FALSE)))</f>
        <v>0</v>
      </c>
      <c r="AO39">
        <v>33</v>
      </c>
      <c r="AP39" t="s">
        <v>44</v>
      </c>
      <c r="AQ39" s="1"/>
    </row>
    <row r="40" spans="1:43" ht="24.95" customHeight="1" thickBot="1">
      <c r="A40" s="36"/>
      <c r="B40" s="36"/>
      <c r="C40" s="36"/>
      <c r="D40" s="35"/>
      <c r="E40" s="36"/>
      <c r="H40" s="2"/>
      <c r="I40" s="2"/>
      <c r="J40" s="2"/>
      <c r="K40" s="2"/>
      <c r="L40" s="2"/>
      <c r="M40" s="2"/>
      <c r="N40" s="2"/>
      <c r="O40" s="2"/>
      <c r="P40" s="2"/>
      <c r="V40" s="1">
        <f t="shared" si="7"/>
        <v>2004</v>
      </c>
      <c r="W40" s="1">
        <f t="shared" ca="1" si="2"/>
        <v>435.02353668212965</v>
      </c>
      <c r="X40" s="1">
        <f t="shared" ca="1" si="3"/>
        <v>578.58130378723251</v>
      </c>
      <c r="Y40" s="1">
        <f t="shared" ca="1" si="4"/>
        <v>291.46576957702689</v>
      </c>
      <c r="Z40" s="1">
        <f t="shared" ca="1" si="5"/>
        <v>0</v>
      </c>
      <c r="AA40" t="b">
        <f t="shared" ca="1" si="8"/>
        <v>0</v>
      </c>
      <c r="AC40" s="1">
        <f t="shared" ca="1" si="1"/>
        <v>34106.715322952317</v>
      </c>
      <c r="AD40" s="1">
        <f t="shared" ca="1" si="6"/>
        <v>0</v>
      </c>
      <c r="AE40" s="1"/>
      <c r="AF40" s="1"/>
      <c r="AG40" s="1"/>
      <c r="AH40" s="1"/>
      <c r="AI40" s="1"/>
      <c r="AJ40">
        <v>40</v>
      </c>
      <c r="AK40">
        <f t="shared" si="0"/>
        <v>40</v>
      </c>
      <c r="AL40">
        <f ca="1">SUMIF('Consolidated tables'!B:B,'Otterspool example'!$T$10,INDIRECT("'Consolidated tables'!"&amp;VLOOKUP(AJ40,AO:AP,2,FALSE)&amp;":"&amp;VLOOKUP(AJ40,AO:AP,2,FALSE)))</f>
        <v>3.0190279483795161E-2</v>
      </c>
      <c r="AM40" s="1">
        <f ca="1">SUMIF('Consolidated tables'!B:B,'Otterspool example'!$T$14,INDIRECT("'Consolidated tables'!"&amp;VLOOKUP(AJ40,AO:AP,2,FALSE)&amp;":"&amp;VLOOKUP(AJ40,AO:AP,2,FALSE)))</f>
        <v>2.3669782920885081</v>
      </c>
      <c r="AN40" s="1">
        <f ca="1">SUMIF('Consolidated tables'!B:B,'Otterspool example'!$T$15,INDIRECT("'Consolidated tables'!"&amp;VLOOKUP(AJ40,AO:AP,2,FALSE)&amp;":"&amp;VLOOKUP(AJ40,AO:AP,2,FALSE)))</f>
        <v>0</v>
      </c>
      <c r="AO40">
        <v>34</v>
      </c>
      <c r="AP40" t="s">
        <v>45</v>
      </c>
      <c r="AQ40" s="1"/>
    </row>
    <row r="41" spans="1:43" ht="24.95" customHeight="1" thickBot="1">
      <c r="A41" s="37" t="s">
        <v>101</v>
      </c>
      <c r="B41" s="71" t="s">
        <v>73</v>
      </c>
      <c r="C41" s="36"/>
      <c r="D41" s="72">
        <f ca="1">VLOOKUP(D2,V:W,2,FALSE)</f>
        <v>179.54330444336</v>
      </c>
      <c r="E41" s="36" t="s">
        <v>105</v>
      </c>
      <c r="F41" s="52"/>
      <c r="G41" s="50"/>
      <c r="H41" s="51"/>
      <c r="I41" s="13"/>
      <c r="J41" s="13"/>
      <c r="K41" s="13"/>
      <c r="L41" s="13"/>
      <c r="M41" s="13"/>
      <c r="N41" s="13"/>
      <c r="O41" s="13"/>
      <c r="P41" s="13"/>
      <c r="V41" s="1">
        <f t="shared" si="7"/>
        <v>2005</v>
      </c>
      <c r="W41" s="1">
        <f t="shared" ca="1" si="2"/>
        <v>401.06380462646564</v>
      </c>
      <c r="X41" s="1">
        <f t="shared" ca="1" si="3"/>
        <v>533.41486015319936</v>
      </c>
      <c r="Y41" s="1">
        <f t="shared" ca="1" si="4"/>
        <v>268.71274909973198</v>
      </c>
      <c r="Z41" s="1">
        <f t="shared" ca="1" si="5"/>
        <v>0</v>
      </c>
      <c r="AA41" t="b">
        <f t="shared" ca="1" si="8"/>
        <v>0</v>
      </c>
      <c r="AC41" s="1">
        <f t="shared" ca="1" si="1"/>
        <v>31444.204410324153</v>
      </c>
      <c r="AD41" s="1">
        <f t="shared" ca="1" si="6"/>
        <v>0</v>
      </c>
      <c r="AE41" s="1"/>
      <c r="AF41" s="1"/>
      <c r="AG41" s="1"/>
      <c r="AH41" s="1"/>
      <c r="AI41" s="1"/>
      <c r="AJ41">
        <v>41</v>
      </c>
      <c r="AK41">
        <f t="shared" si="0"/>
        <v>45</v>
      </c>
      <c r="AL41">
        <f ca="1">SUMIF('Consolidated tables'!B:B,'Otterspool example'!$T$10,INDIRECT("'Consolidated tables'!"&amp;VLOOKUP(AJ41,AO:AP,2,FALSE)&amp;":"&amp;VLOOKUP(AJ41,AO:AP,2,FALSE)))</f>
        <v>2.7897884845733637E-2</v>
      </c>
      <c r="AM41" s="1">
        <f ca="1">SUMIF('Consolidated tables'!B:B,'Otterspool example'!$T$14,INDIRECT("'Consolidated tables'!"&amp;VLOOKUP(AJ41,AO:AP,2,FALSE)&amp;":"&amp;VLOOKUP(AJ41,AO:AP,2,FALSE)))</f>
        <v>2.1872499676752084</v>
      </c>
      <c r="AN41" s="1">
        <f ca="1">SUMIF('Consolidated tables'!B:B,'Otterspool example'!$T$15,INDIRECT("'Consolidated tables'!"&amp;VLOOKUP(AJ41,AO:AP,2,FALSE)&amp;":"&amp;VLOOKUP(AJ41,AO:AP,2,FALSE)))</f>
        <v>0</v>
      </c>
      <c r="AO41">
        <v>35</v>
      </c>
      <c r="AP41" t="s">
        <v>46</v>
      </c>
      <c r="AQ41" s="1"/>
    </row>
    <row r="42" spans="1:43" s="20" customFormat="1" ht="24.95" customHeight="1">
      <c r="A42" s="45"/>
      <c r="B42" s="46"/>
      <c r="D42" s="47"/>
      <c r="F42" s="48"/>
      <c r="H42" s="49"/>
      <c r="I42" s="49"/>
      <c r="J42" s="49"/>
      <c r="K42" s="49"/>
      <c r="L42" s="49"/>
      <c r="M42" s="49"/>
      <c r="N42" s="49"/>
      <c r="O42" s="49"/>
      <c r="P42" s="49"/>
      <c r="V42" s="1">
        <f t="shared" si="7"/>
        <v>2006</v>
      </c>
      <c r="W42" s="1">
        <f t="shared" ca="1" si="2"/>
        <v>369.82189178466717</v>
      </c>
      <c r="X42" s="1">
        <f t="shared" ca="1" si="3"/>
        <v>491.86311607360739</v>
      </c>
      <c r="Y42" s="1">
        <f t="shared" ca="1" si="4"/>
        <v>247.78066749572702</v>
      </c>
      <c r="Z42" s="1">
        <f t="shared" ca="1" si="5"/>
        <v>0</v>
      </c>
      <c r="AA42" t="b">
        <f t="shared" ca="1" si="8"/>
        <v>0</v>
      </c>
      <c r="AB42"/>
      <c r="AC42" s="1">
        <f t="shared" ca="1" si="1"/>
        <v>28994.775959701474</v>
      </c>
      <c r="AD42" s="1">
        <f t="shared" ca="1" si="6"/>
        <v>0</v>
      </c>
      <c r="AE42" s="1"/>
      <c r="AF42" s="1"/>
      <c r="AG42" s="1"/>
      <c r="AH42" s="1"/>
      <c r="AI42" s="1"/>
      <c r="AJ42">
        <v>42</v>
      </c>
      <c r="AK42">
        <f t="shared" si="0"/>
        <v>45</v>
      </c>
      <c r="AL42">
        <f ca="1">SUMIF('Consolidated tables'!B:B,'Otterspool example'!$T$10,INDIRECT("'Consolidated tables'!"&amp;VLOOKUP(AJ42,AO:AP,2,FALSE)&amp;":"&amp;VLOOKUP(AJ42,AO:AP,2,FALSE)))</f>
        <v>2.5782341957092281E-2</v>
      </c>
      <c r="AM42" s="1">
        <f ca="1">SUMIF('Consolidated tables'!B:B,'Otterspool example'!$T$14,INDIRECT("'Consolidated tables'!"&amp;VLOOKUP(AJ42,AO:AP,2,FALSE)&amp;":"&amp;VLOOKUP(AJ42,AO:AP,2,FALSE)))</f>
        <v>2.0213871741199494</v>
      </c>
      <c r="AN42" s="1">
        <f ca="1">SUMIF('Consolidated tables'!B:B,'Otterspool example'!$T$15,INDIRECT("'Consolidated tables'!"&amp;VLOOKUP(AJ42,AO:AP,2,FALSE)&amp;":"&amp;VLOOKUP(AJ42,AO:AP,2,FALSE)))</f>
        <v>0</v>
      </c>
      <c r="AO42">
        <v>36</v>
      </c>
      <c r="AP42" t="s">
        <v>47</v>
      </c>
      <c r="AQ42" s="12"/>
    </row>
    <row r="43" spans="1:43" s="20" customFormat="1" ht="24.95" customHeight="1">
      <c r="A43" s="32" t="s">
        <v>93</v>
      </c>
      <c r="B43" s="14"/>
      <c r="C43"/>
      <c r="D43" s="14"/>
      <c r="E43" s="14"/>
      <c r="F43" s="14"/>
      <c r="G43"/>
      <c r="H43" s="13"/>
      <c r="I43" s="49"/>
      <c r="J43" s="49"/>
      <c r="K43" s="49"/>
      <c r="L43" s="49"/>
      <c r="M43" s="49"/>
      <c r="N43" s="49"/>
      <c r="O43" s="49"/>
      <c r="P43" s="49"/>
      <c r="V43" s="1">
        <f t="shared" si="7"/>
        <v>2007</v>
      </c>
      <c r="W43" s="1">
        <f t="shared" ca="1" si="2"/>
        <v>341.07345581054722</v>
      </c>
      <c r="X43" s="1">
        <f t="shared" ca="1" si="3"/>
        <v>453.62769622802784</v>
      </c>
      <c r="Y43" s="1">
        <f t="shared" ca="1" si="4"/>
        <v>228.51921539306664</v>
      </c>
      <c r="Z43" s="1">
        <f t="shared" ca="1" si="5"/>
        <v>0</v>
      </c>
      <c r="AA43" t="b">
        <f t="shared" ca="1" si="8"/>
        <v>0</v>
      </c>
      <c r="AB43"/>
      <c r="AC43" s="1">
        <f t="shared" ca="1" si="1"/>
        <v>26740.841082458523</v>
      </c>
      <c r="AD43" s="1">
        <f t="shared" ca="1" si="6"/>
        <v>0</v>
      </c>
      <c r="AE43" s="1"/>
      <c r="AF43" s="1"/>
      <c r="AG43" s="1"/>
      <c r="AH43" s="1"/>
      <c r="AI43" s="1"/>
      <c r="AJ43">
        <v>43</v>
      </c>
      <c r="AK43">
        <f t="shared" si="0"/>
        <v>45</v>
      </c>
      <c r="AL43">
        <f ca="1">SUMIF('Consolidated tables'!B:B,'Otterspool example'!$T$10,INDIRECT("'Consolidated tables'!"&amp;VLOOKUP(AJ43,AO:AP,2,FALSE)&amp;":"&amp;VLOOKUP(AJ43,AO:AP,2,FALSE)))</f>
        <v>2.382971048355104E-2</v>
      </c>
      <c r="AM43" s="1">
        <f ca="1">SUMIF('Consolidated tables'!B:B,'Otterspool example'!$T$14,INDIRECT("'Consolidated tables'!"&amp;VLOOKUP(AJ43,AO:AP,2,FALSE)&amp;":"&amp;VLOOKUP(AJ43,AO:AP,2,FALSE)))</f>
        <v>1.8682969613313685</v>
      </c>
      <c r="AN43" s="1">
        <f ca="1">SUMIF('Consolidated tables'!B:B,'Otterspool example'!$T$15,INDIRECT("'Consolidated tables'!"&amp;VLOOKUP(AJ43,AO:AP,2,FALSE)&amp;":"&amp;VLOOKUP(AJ43,AO:AP,2,FALSE)))</f>
        <v>0</v>
      </c>
      <c r="AO43">
        <v>37</v>
      </c>
      <c r="AP43" t="s">
        <v>48</v>
      </c>
      <c r="AQ43" s="12"/>
    </row>
    <row r="44" spans="1:43" ht="24.95" customHeight="1" thickBot="1">
      <c r="A44" s="38"/>
      <c r="D44" s="11"/>
      <c r="H44" s="2"/>
      <c r="I44" s="2"/>
      <c r="J44" s="2"/>
      <c r="K44" s="2"/>
      <c r="L44" s="2"/>
      <c r="M44" s="2"/>
      <c r="N44" s="2"/>
      <c r="O44" s="2"/>
      <c r="P44" s="2"/>
      <c r="V44" s="1">
        <f t="shared" si="7"/>
        <v>2008</v>
      </c>
      <c r="W44" s="1">
        <f t="shared" ca="1" si="2"/>
        <v>314.61330413818399</v>
      </c>
      <c r="X44" s="1">
        <f t="shared" ca="1" si="3"/>
        <v>418.43569450378476</v>
      </c>
      <c r="Y44" s="1">
        <f t="shared" ca="1" si="4"/>
        <v>210.79091377258328</v>
      </c>
      <c r="Z44" s="1">
        <f t="shared" ca="1" si="5"/>
        <v>0</v>
      </c>
      <c r="AA44" t="b">
        <f t="shared" ca="1" si="8"/>
        <v>0</v>
      </c>
      <c r="AC44" s="1">
        <f t="shared" ca="1" si="1"/>
        <v>24666.312271041905</v>
      </c>
      <c r="AD44" s="1">
        <f t="shared" ca="1" si="6"/>
        <v>0</v>
      </c>
      <c r="AE44" s="1"/>
      <c r="AF44" s="1"/>
      <c r="AG44" s="1"/>
      <c r="AH44" s="1"/>
      <c r="AI44" s="1"/>
      <c r="AJ44">
        <v>44</v>
      </c>
      <c r="AK44">
        <f t="shared" si="0"/>
        <v>45</v>
      </c>
      <c r="AL44">
        <f ca="1">SUMIF('Consolidated tables'!B:B,'Otterspool example'!$T$10,INDIRECT("'Consolidated tables'!"&amp;VLOOKUP(AJ44,AO:AP,2,FALSE)&amp;":"&amp;VLOOKUP(AJ44,AO:AP,2,FALSE)))</f>
        <v>2.2027187347412117E-2</v>
      </c>
      <c r="AM44" s="1">
        <f ca="1">SUMIF('Consolidated tables'!B:B,'Otterspool example'!$T$14,INDIRECT("'Consolidated tables'!"&amp;VLOOKUP(AJ44,AO:AP,2,FALSE)&amp;":"&amp;VLOOKUP(AJ44,AO:AP,2,FALSE)))</f>
        <v>1.7269755424118047</v>
      </c>
      <c r="AN44" s="1">
        <f ca="1">SUMIF('Consolidated tables'!B:B,'Otterspool example'!$T$15,INDIRECT("'Consolidated tables'!"&amp;VLOOKUP(AJ44,AO:AP,2,FALSE)&amp;":"&amp;VLOOKUP(AJ44,AO:AP,2,FALSE)))</f>
        <v>0</v>
      </c>
      <c r="AO44">
        <v>38</v>
      </c>
      <c r="AP44" t="s">
        <v>49</v>
      </c>
      <c r="AQ44" s="1"/>
    </row>
    <row r="45" spans="1:43" ht="24.95" customHeight="1" thickBot="1">
      <c r="A45" s="37" t="s">
        <v>102</v>
      </c>
      <c r="B45" s="71" t="s">
        <v>106</v>
      </c>
      <c r="C45" s="36"/>
      <c r="D45" s="73">
        <f ca="1">VLOOKUP(D2,V$2:AI$1048576,8,FALSE)</f>
        <v>14076.554154968306</v>
      </c>
      <c r="E45" s="36" t="s">
        <v>103</v>
      </c>
      <c r="H45" s="2"/>
      <c r="I45" s="2"/>
      <c r="J45" s="2"/>
      <c r="K45" s="2"/>
      <c r="L45" s="2"/>
      <c r="M45" s="2"/>
      <c r="N45" s="2"/>
      <c r="O45" s="2"/>
      <c r="P45" s="2"/>
      <c r="V45" s="1">
        <f t="shared" si="7"/>
        <v>2009</v>
      </c>
      <c r="W45" s="1">
        <f t="shared" ca="1" si="2"/>
        <v>290.25381088256802</v>
      </c>
      <c r="X45" s="1">
        <f t="shared" ca="1" si="3"/>
        <v>386.0375684738155</v>
      </c>
      <c r="Y45" s="1">
        <f t="shared" ca="1" si="4"/>
        <v>194.4700532913206</v>
      </c>
      <c r="Z45" s="1">
        <f t="shared" ca="1" si="5"/>
        <v>0</v>
      </c>
      <c r="AA45" t="b">
        <f t="shared" ca="1" si="8"/>
        <v>0</v>
      </c>
      <c r="AC45" s="1">
        <f t="shared" ca="1" si="1"/>
        <v>22756.479280815096</v>
      </c>
      <c r="AD45" s="1">
        <f t="shared" ca="1" si="6"/>
        <v>0</v>
      </c>
      <c r="AE45" s="1"/>
      <c r="AF45" s="1"/>
      <c r="AG45" s="1"/>
      <c r="AH45" s="1"/>
      <c r="AI45" s="1"/>
      <c r="AJ45">
        <v>45</v>
      </c>
      <c r="AK45">
        <f t="shared" si="0"/>
        <v>45</v>
      </c>
      <c r="AL45">
        <f ca="1">SUMIF('Consolidated tables'!B:B,'Otterspool example'!$T$10,INDIRECT("'Consolidated tables'!"&amp;VLOOKUP(AJ45,AO:AP,2,FALSE)&amp;":"&amp;VLOOKUP(AJ45,AO:AP,2,FALSE)))</f>
        <v>2.0362992286682119E-2</v>
      </c>
      <c r="AM45" s="1">
        <f ca="1">SUMIF('Consolidated tables'!B:B,'Otterspool example'!$T$14,INDIRECT("'Consolidated tables'!"&amp;VLOOKUP(AJ45,AO:AP,2,FALSE)&amp;":"&amp;VLOOKUP(AJ45,AO:AP,2,FALSE)))</f>
        <v>1.5964993212604515</v>
      </c>
      <c r="AN45" s="1">
        <f ca="1">SUMIF('Consolidated tables'!B:B,'Otterspool example'!$T$15,INDIRECT("'Consolidated tables'!"&amp;VLOOKUP(AJ45,AO:AP,2,FALSE)&amp;":"&amp;VLOOKUP(AJ45,AO:AP,2,FALSE)))</f>
        <v>0</v>
      </c>
      <c r="AO45">
        <v>39</v>
      </c>
      <c r="AP45" t="s">
        <v>50</v>
      </c>
      <c r="AQ45" s="1"/>
    </row>
    <row r="46" spans="1:43" ht="24.95" customHeight="1" thickBot="1">
      <c r="A46" s="36"/>
      <c r="B46" s="37"/>
      <c r="C46" s="36"/>
      <c r="D46" s="74"/>
      <c r="E46" s="36"/>
      <c r="H46" s="2"/>
      <c r="I46" s="2"/>
      <c r="J46" s="2"/>
      <c r="K46" s="2"/>
      <c r="L46" s="2"/>
      <c r="M46" s="2"/>
      <c r="N46" s="2"/>
      <c r="O46" s="2"/>
      <c r="P46" s="2"/>
      <c r="V46" s="1">
        <f t="shared" si="7"/>
        <v>2010</v>
      </c>
      <c r="W46" s="1">
        <f t="shared" ca="1" si="2"/>
        <v>267.82323837280319</v>
      </c>
      <c r="X46" s="1">
        <f t="shared" ca="1" si="3"/>
        <v>356.20490703582828</v>
      </c>
      <c r="Y46" s="1">
        <f t="shared" ca="1" si="4"/>
        <v>179.44156970977815</v>
      </c>
      <c r="Z46" s="1">
        <f t="shared" ca="1" si="5"/>
        <v>0</v>
      </c>
      <c r="AA46" t="b">
        <f t="shared" ca="1" si="8"/>
        <v>0</v>
      </c>
      <c r="AC46" s="1">
        <f t="shared" ca="1" si="1"/>
        <v>20997.877534904514</v>
      </c>
      <c r="AD46" s="1">
        <f t="shared" ca="1" si="6"/>
        <v>0</v>
      </c>
      <c r="AE46" s="1"/>
      <c r="AF46" s="1"/>
      <c r="AG46" s="1"/>
      <c r="AH46" s="1"/>
      <c r="AI46" s="1"/>
      <c r="AJ46">
        <v>46</v>
      </c>
      <c r="AK46">
        <f t="shared" si="0"/>
        <v>50</v>
      </c>
      <c r="AL46">
        <f ca="1">SUMIF('Consolidated tables'!B:B,'Otterspool example'!$T$10,INDIRECT("'Consolidated tables'!"&amp;VLOOKUP(AJ46,AO:AP,2,FALSE)&amp;":"&amp;VLOOKUP(AJ46,AO:AP,2,FALSE)))</f>
        <v>1.8826304674148558E-2</v>
      </c>
      <c r="AM46" s="1">
        <f ca="1">SUMIF('Consolidated tables'!B:B,'Otterspool example'!$T$14,INDIRECT("'Consolidated tables'!"&amp;VLOOKUP(AJ46,AO:AP,2,FALSE)&amp;":"&amp;VLOOKUP(AJ46,AO:AP,2,FALSE)))</f>
        <v>1.4760199390625952</v>
      </c>
      <c r="AN46" s="1">
        <f ca="1">SUMIF('Consolidated tables'!B:B,'Otterspool example'!$T$15,INDIRECT("'Consolidated tables'!"&amp;VLOOKUP(AJ46,AO:AP,2,FALSE)&amp;":"&amp;VLOOKUP(AJ46,AO:AP,2,FALSE)))</f>
        <v>0</v>
      </c>
      <c r="AO46">
        <v>40</v>
      </c>
      <c r="AP46" t="s">
        <v>51</v>
      </c>
      <c r="AQ46" s="1"/>
    </row>
    <row r="47" spans="1:43" ht="24.75" customHeight="1" thickTop="1" thickBot="1">
      <c r="A47" s="37" t="s">
        <v>104</v>
      </c>
      <c r="B47" s="75" t="s">
        <v>91</v>
      </c>
      <c r="C47" s="76">
        <f>D6+49</f>
        <v>2030</v>
      </c>
      <c r="D47" s="77">
        <f ca="1">SUM(AD17:AD66)</f>
        <v>132888.56519039162</v>
      </c>
      <c r="E47" s="36" t="s">
        <v>103</v>
      </c>
      <c r="V47" s="1">
        <f t="shared" si="7"/>
        <v>2011</v>
      </c>
      <c r="W47" s="1">
        <f t="shared" ca="1" si="2"/>
        <v>247.1644210815424</v>
      </c>
      <c r="X47" s="1">
        <f t="shared" ca="1" si="3"/>
        <v>328.72868003845139</v>
      </c>
      <c r="Y47" s="1">
        <f t="shared" ca="1" si="4"/>
        <v>165.60016212463341</v>
      </c>
      <c r="Z47" s="1">
        <f t="shared" ca="1" si="5"/>
        <v>0</v>
      </c>
      <c r="AA47" t="b">
        <f t="shared" ca="1" si="8"/>
        <v>0</v>
      </c>
      <c r="AC47" s="1">
        <f t="shared" ca="1" si="1"/>
        <v>19378.184941635089</v>
      </c>
      <c r="AD47" s="1">
        <f t="shared" ca="1" si="6"/>
        <v>0</v>
      </c>
      <c r="AE47" s="1"/>
      <c r="AF47" s="1"/>
      <c r="AG47" s="1"/>
      <c r="AH47" s="1"/>
      <c r="AI47" s="1"/>
      <c r="AJ47">
        <v>47</v>
      </c>
      <c r="AK47">
        <f t="shared" si="0"/>
        <v>50</v>
      </c>
      <c r="AL47">
        <f ca="1">SUMIF('Consolidated tables'!B:B,'Otterspool example'!$T$10,INDIRECT("'Consolidated tables'!"&amp;VLOOKUP(AJ47,AO:AP,2,FALSE)&amp;":"&amp;VLOOKUP(AJ47,AO:AP,2,FALSE)))</f>
        <v>1.7407164573669441E-2</v>
      </c>
      <c r="AM47" s="1">
        <f ca="1">SUMIF('Consolidated tables'!B:B,'Otterspool example'!$T$14,INDIRECT("'Consolidated tables'!"&amp;VLOOKUP(AJ47,AO:AP,2,FALSE)&amp;":"&amp;VLOOKUP(AJ47,AO:AP,2,FALSE)))</f>
        <v>1.3647565169048315</v>
      </c>
      <c r="AN47" s="1">
        <f ca="1">SUMIF('Consolidated tables'!B:B,'Otterspool example'!$T$15,INDIRECT("'Consolidated tables'!"&amp;VLOOKUP(AJ47,AO:AP,2,FALSE)&amp;":"&amp;VLOOKUP(AJ47,AO:AP,2,FALSE)))</f>
        <v>0</v>
      </c>
      <c r="AO47">
        <v>41</v>
      </c>
      <c r="AP47" t="s">
        <v>52</v>
      </c>
      <c r="AQ47" s="1"/>
    </row>
    <row r="48" spans="1:43">
      <c r="V48" s="1">
        <f t="shared" si="7"/>
        <v>2012</v>
      </c>
      <c r="W48" s="1">
        <f t="shared" ca="1" si="2"/>
        <v>228.13341140747036</v>
      </c>
      <c r="X48" s="1">
        <f t="shared" ca="1" si="3"/>
        <v>303.4174371719356</v>
      </c>
      <c r="Y48" s="1">
        <f t="shared" ca="1" si="4"/>
        <v>152.84938564300515</v>
      </c>
      <c r="Z48" s="1">
        <f t="shared" ca="1" si="5"/>
        <v>0</v>
      </c>
      <c r="AA48" t="b">
        <f t="shared" ca="1" si="8"/>
        <v>0</v>
      </c>
      <c r="AC48" s="1">
        <f t="shared" ca="1" si="1"/>
        <v>17886.115721168491</v>
      </c>
      <c r="AD48" s="1">
        <f t="shared" ca="1" si="6"/>
        <v>0</v>
      </c>
      <c r="AE48" s="1"/>
      <c r="AF48" s="1"/>
      <c r="AG48" s="1"/>
      <c r="AH48" s="1"/>
      <c r="AI48" s="1"/>
      <c r="AJ48">
        <v>48</v>
      </c>
      <c r="AK48">
        <f t="shared" si="0"/>
        <v>50</v>
      </c>
      <c r="AL48">
        <f ca="1">SUMIF('Consolidated tables'!B:B,'Otterspool example'!$T$10,INDIRECT("'Consolidated tables'!"&amp;VLOOKUP(AJ48,AO:AP,2,FALSE)&amp;":"&amp;VLOOKUP(AJ48,AO:AP,2,FALSE)))</f>
        <v>1.6096411943435682E-2</v>
      </c>
      <c r="AM48" s="1">
        <f ca="1">SUMIF('Consolidated tables'!B:B,'Otterspool example'!$T$14,INDIRECT("'Consolidated tables'!"&amp;VLOOKUP(AJ48,AO:AP,2,FALSE)&amp;":"&amp;VLOOKUP(AJ48,AO:AP,2,FALSE)))</f>
        <v>1.2619908891892442</v>
      </c>
      <c r="AN48" s="1">
        <f ca="1">SUMIF('Consolidated tables'!B:B,'Otterspool example'!$T$15,INDIRECT("'Consolidated tables'!"&amp;VLOOKUP(AJ48,AO:AP,2,FALSE)&amp;":"&amp;VLOOKUP(AJ48,AO:AP,2,FALSE)))</f>
        <v>0</v>
      </c>
      <c r="AO48">
        <v>42</v>
      </c>
      <c r="AP48" t="s">
        <v>53</v>
      </c>
      <c r="AQ48" s="1"/>
    </row>
    <row r="49" spans="4:43">
      <c r="V49" s="1">
        <f t="shared" si="7"/>
        <v>2013</v>
      </c>
      <c r="W49" s="1">
        <f t="shared" ca="1" si="2"/>
        <v>210.59839248657281</v>
      </c>
      <c r="X49" s="1">
        <f t="shared" ca="1" si="3"/>
        <v>280.09586200714182</v>
      </c>
      <c r="Y49" s="1">
        <f t="shared" ca="1" si="4"/>
        <v>141.10092296600379</v>
      </c>
      <c r="Z49" s="1">
        <f t="shared" ca="1" si="5"/>
        <v>0</v>
      </c>
      <c r="AA49" t="b">
        <f t="shared" ca="1" si="8"/>
        <v>0</v>
      </c>
      <c r="AC49" s="1">
        <f t="shared" ca="1" si="1"/>
        <v>16511.335167732283</v>
      </c>
      <c r="AD49" s="1">
        <f t="shared" ca="1" si="6"/>
        <v>0</v>
      </c>
      <c r="AE49" s="1"/>
      <c r="AF49" s="1"/>
      <c r="AG49" s="1"/>
      <c r="AH49" s="1"/>
      <c r="AI49" s="1"/>
      <c r="AJ49">
        <v>49</v>
      </c>
      <c r="AK49">
        <f t="shared" si="0"/>
        <v>50</v>
      </c>
      <c r="AL49">
        <f ca="1">SUMIF('Consolidated tables'!B:B,'Otterspool example'!$T$10,INDIRECT("'Consolidated tables'!"&amp;VLOOKUP(AJ49,AO:AP,2,FALSE)&amp;":"&amp;VLOOKUP(AJ49,AO:AP,2,FALSE)))</f>
        <v>1.488561868667604E-2</v>
      </c>
      <c r="AM49" s="1">
        <f ca="1">SUMIF('Consolidated tables'!B:B,'Otterspool example'!$T$14,INDIRECT("'Consolidated tables'!"&amp;VLOOKUP(AJ49,AO:AP,2,FALSE)&amp;":"&amp;VLOOKUP(AJ49,AO:AP,2,FALSE)))</f>
        <v>1.1670622762727749</v>
      </c>
      <c r="AN49" s="1">
        <f ca="1">SUMIF('Consolidated tables'!B:B,'Otterspool example'!$T$15,INDIRECT("'Consolidated tables'!"&amp;VLOOKUP(AJ49,AO:AP,2,FALSE)&amp;":"&amp;VLOOKUP(AJ49,AO:AP,2,FALSE)))</f>
        <v>0</v>
      </c>
      <c r="AO49">
        <v>43</v>
      </c>
      <c r="AP49" t="s">
        <v>54</v>
      </c>
      <c r="AQ49" s="1"/>
    </row>
    <row r="50" spans="4:43">
      <c r="V50" s="1">
        <f t="shared" si="7"/>
        <v>2014</v>
      </c>
      <c r="W50" s="1">
        <f t="shared" ca="1" si="2"/>
        <v>194.43861007690401</v>
      </c>
      <c r="X50" s="1">
        <f t="shared" ca="1" si="3"/>
        <v>258.60335140228233</v>
      </c>
      <c r="Y50" s="1">
        <f t="shared" ca="1" si="4"/>
        <v>130.2738687515257</v>
      </c>
      <c r="Z50" s="1">
        <f t="shared" ca="1" si="5"/>
        <v>0</v>
      </c>
      <c r="AA50" t="b">
        <f t="shared" ca="1" si="8"/>
        <v>0</v>
      </c>
      <c r="AC50" s="1">
        <f t="shared" ca="1" si="1"/>
        <v>15244.375907249427</v>
      </c>
      <c r="AD50" s="1">
        <f t="shared" ca="1" si="6"/>
        <v>0</v>
      </c>
      <c r="AE50" s="1"/>
      <c r="AF50" s="1"/>
      <c r="AG50" s="1"/>
      <c r="AH50" s="1"/>
      <c r="AI50" s="1"/>
      <c r="AJ50">
        <v>50</v>
      </c>
      <c r="AK50">
        <f t="shared" si="0"/>
        <v>50</v>
      </c>
      <c r="AL50">
        <f ca="1">SUMIF('Consolidated tables'!B:B,'Otterspool example'!$T$10,INDIRECT("'Consolidated tables'!"&amp;VLOOKUP(AJ50,AO:AP,2,FALSE)&amp;":"&amp;VLOOKUP(AJ50,AO:AP,2,FALSE)))</f>
        <v>1.376702785491944E-2</v>
      </c>
      <c r="AM50" s="1">
        <f ca="1">SUMIF('Consolidated tables'!B:B,'Otterspool example'!$T$14,INDIRECT("'Consolidated tables'!"&amp;VLOOKUP(AJ50,AO:AP,2,FALSE)&amp;":"&amp;VLOOKUP(AJ50,AO:AP,2,FALSE)))</f>
        <v>1.0793625178813939</v>
      </c>
      <c r="AN50" s="1">
        <f ca="1">SUMIF('Consolidated tables'!B:B,'Otterspool example'!$T$15,INDIRECT("'Consolidated tables'!"&amp;VLOOKUP(AJ50,AO:AP,2,FALSE)&amp;":"&amp;VLOOKUP(AJ50,AO:AP,2,FALSE)))</f>
        <v>0</v>
      </c>
      <c r="AO50">
        <v>44</v>
      </c>
      <c r="AP50" t="s">
        <v>55</v>
      </c>
      <c r="AQ50" s="1"/>
    </row>
    <row r="51" spans="4:43">
      <c r="V51" s="1">
        <f t="shared" si="7"/>
        <v>2015</v>
      </c>
      <c r="W51" s="1">
        <f t="shared" ca="1" si="2"/>
        <v>179.54330444336</v>
      </c>
      <c r="X51" s="1">
        <f t="shared" ca="1" si="3"/>
        <v>238.79259490966882</v>
      </c>
      <c r="Y51" s="1">
        <f t="shared" ca="1" si="4"/>
        <v>120.29401397705121</v>
      </c>
      <c r="Z51" s="1">
        <f t="shared" ca="1" si="5"/>
        <v>1</v>
      </c>
      <c r="AA51" t="b">
        <f t="shared" ca="1" si="8"/>
        <v>1</v>
      </c>
      <c r="AC51" s="1">
        <f t="shared" ca="1" si="1"/>
        <v>14076.554154968306</v>
      </c>
      <c r="AD51" s="1">
        <f t="shared" ca="1" si="6"/>
        <v>14076.554154968306</v>
      </c>
      <c r="AE51" s="1"/>
      <c r="AF51" s="1"/>
      <c r="AG51" s="1"/>
      <c r="AH51" s="1"/>
      <c r="AI51" s="1"/>
      <c r="AM51" s="1"/>
      <c r="AN51" s="1"/>
      <c r="AO51">
        <v>45</v>
      </c>
      <c r="AP51" t="s">
        <v>56</v>
      </c>
      <c r="AQ51" s="1"/>
    </row>
    <row r="52" spans="4:43">
      <c r="V52" s="1">
        <f t="shared" si="7"/>
        <v>2016</v>
      </c>
      <c r="W52" s="1">
        <f t="shared" ca="1" si="2"/>
        <v>165.81098556518558</v>
      </c>
      <c r="X52" s="1">
        <f t="shared" ca="1" si="3"/>
        <v>220.52861080169683</v>
      </c>
      <c r="Y52" s="1">
        <f t="shared" ca="1" si="4"/>
        <v>111.09336032867434</v>
      </c>
      <c r="Z52" s="1">
        <f t="shared" ca="1" si="5"/>
        <v>0</v>
      </c>
      <c r="AA52" t="b">
        <f t="shared" ca="1" si="8"/>
        <v>1</v>
      </c>
      <c r="AC52" s="1">
        <f t="shared" ca="1" si="1"/>
        <v>12999.912890281677</v>
      </c>
      <c r="AD52" s="1">
        <f t="shared" ca="1" si="6"/>
        <v>12999.912890281677</v>
      </c>
      <c r="AE52" s="1"/>
      <c r="AF52" s="1"/>
      <c r="AG52" s="1"/>
      <c r="AH52" s="1"/>
      <c r="AI52" s="1"/>
      <c r="AM52" s="1"/>
      <c r="AN52" s="1"/>
      <c r="AO52">
        <v>46</v>
      </c>
      <c r="AP52" t="s">
        <v>57</v>
      </c>
      <c r="AQ52" s="1"/>
    </row>
    <row r="53" spans="4:43">
      <c r="V53" s="1">
        <f t="shared" si="7"/>
        <v>2017</v>
      </c>
      <c r="W53" s="1">
        <f t="shared" ca="1" si="2"/>
        <v>153.1485652923584</v>
      </c>
      <c r="X53" s="1">
        <f t="shared" ca="1" si="3"/>
        <v>203.68759183883668</v>
      </c>
      <c r="Y53" s="1">
        <f t="shared" ca="1" si="4"/>
        <v>102.60953874588013</v>
      </c>
      <c r="Z53" s="1">
        <f t="shared" ca="1" si="5"/>
        <v>0</v>
      </c>
      <c r="AA53" t="b">
        <f t="shared" ca="1" si="8"/>
        <v>1</v>
      </c>
      <c r="AC53" s="1">
        <f t="shared" ca="1" si="1"/>
        <v>12007.153816051483</v>
      </c>
      <c r="AD53" s="1">
        <f t="shared" ca="1" si="6"/>
        <v>12007.153816051483</v>
      </c>
      <c r="AE53" s="1"/>
      <c r="AF53" s="1"/>
      <c r="AG53" s="1"/>
      <c r="AH53" s="1"/>
      <c r="AI53" s="1"/>
      <c r="AM53" s="1"/>
      <c r="AN53" s="1"/>
      <c r="AO53">
        <v>47</v>
      </c>
      <c r="AP53" t="s">
        <v>63</v>
      </c>
    </row>
    <row r="54" spans="4:43">
      <c r="D54" s="53"/>
      <c r="V54" s="1">
        <f t="shared" si="7"/>
        <v>2018</v>
      </c>
      <c r="W54" s="1">
        <f t="shared" ca="1" si="2"/>
        <v>141.47062301635742</v>
      </c>
      <c r="X54" s="1">
        <f t="shared" ca="1" si="3"/>
        <v>188.15592861175537</v>
      </c>
      <c r="Y54" s="1">
        <f t="shared" ca="1" si="4"/>
        <v>94.785317420959473</v>
      </c>
      <c r="Z54" s="1">
        <f t="shared" ca="1" si="5"/>
        <v>0</v>
      </c>
      <c r="AA54" t="b">
        <f t="shared" ca="1" si="8"/>
        <v>1</v>
      </c>
      <c r="AC54" s="1">
        <f t="shared" ca="1" si="1"/>
        <v>11091.579785728454</v>
      </c>
      <c r="AD54" s="1">
        <f t="shared" ca="1" si="6"/>
        <v>11091.579785728454</v>
      </c>
      <c r="AE54" s="1"/>
      <c r="AF54" s="1"/>
      <c r="AG54" s="1"/>
      <c r="AH54" s="1"/>
      <c r="AI54" s="1"/>
      <c r="AM54" s="1"/>
      <c r="AN54" s="1"/>
      <c r="AO54">
        <v>48</v>
      </c>
      <c r="AP54" t="s">
        <v>64</v>
      </c>
    </row>
    <row r="55" spans="4:43">
      <c r="V55" s="1">
        <f t="shared" si="7"/>
        <v>2019</v>
      </c>
      <c r="W55" s="1">
        <f t="shared" ca="1" si="2"/>
        <v>130.69879531860352</v>
      </c>
      <c r="X55" s="1">
        <f t="shared" ca="1" si="3"/>
        <v>173.8293977737427</v>
      </c>
      <c r="Y55" s="1">
        <f t="shared" ca="1" si="4"/>
        <v>87.568192863464361</v>
      </c>
      <c r="Z55" s="1">
        <f t="shared" ca="1" si="5"/>
        <v>0</v>
      </c>
      <c r="AA55" t="b">
        <f t="shared" ca="1" si="8"/>
        <v>1</v>
      </c>
      <c r="AC55" s="1">
        <f t="shared" ca="1" si="1"/>
        <v>10247.046950569153</v>
      </c>
      <c r="AD55" s="1">
        <f t="shared" ca="1" si="6"/>
        <v>10247.046950569153</v>
      </c>
      <c r="AE55" s="1"/>
      <c r="AF55" s="1"/>
      <c r="AG55" s="1"/>
      <c r="AH55" s="1"/>
      <c r="AI55" s="1"/>
      <c r="AM55" s="1"/>
      <c r="AN55" s="1"/>
      <c r="AO55">
        <v>49</v>
      </c>
      <c r="AP55" t="s">
        <v>65</v>
      </c>
    </row>
    <row r="56" spans="4:43">
      <c r="V56" s="1">
        <f t="shared" si="7"/>
        <v>2020</v>
      </c>
      <c r="W56" s="1">
        <f t="shared" ca="1" si="2"/>
        <v>120.76111793518064</v>
      </c>
      <c r="X56" s="1">
        <f t="shared" ca="1" si="3"/>
        <v>160.61228685379027</v>
      </c>
      <c r="Y56" s="1">
        <f t="shared" ca="1" si="4"/>
        <v>80.909949016571034</v>
      </c>
      <c r="Z56" s="1">
        <f t="shared" ca="1" si="5"/>
        <v>0</v>
      </c>
      <c r="AA56" t="b">
        <f t="shared" ca="1" si="8"/>
        <v>1</v>
      </c>
      <c r="AC56" s="1">
        <f t="shared" ca="1" si="1"/>
        <v>9467.9131683540327</v>
      </c>
      <c r="AD56" s="1">
        <f t="shared" ca="1" si="6"/>
        <v>9467.9131683540327</v>
      </c>
      <c r="AE56" s="1"/>
      <c r="AF56" s="1"/>
      <c r="AG56" s="1"/>
      <c r="AH56" s="1"/>
      <c r="AI56" s="1"/>
      <c r="AM56" s="1"/>
      <c r="AN56" s="1"/>
      <c r="AO56">
        <v>50</v>
      </c>
      <c r="AP56" t="s">
        <v>66</v>
      </c>
    </row>
    <row r="57" spans="4:43">
      <c r="V57" s="1">
        <f t="shared" si="7"/>
        <v>2021</v>
      </c>
      <c r="W57" s="1">
        <f t="shared" ca="1" si="2"/>
        <v>111.59153938293454</v>
      </c>
      <c r="X57" s="1">
        <f t="shared" ca="1" si="3"/>
        <v>148.41674737930296</v>
      </c>
      <c r="Y57" s="1">
        <f t="shared" ca="1" si="4"/>
        <v>74.766331386566151</v>
      </c>
      <c r="Z57" s="1">
        <f t="shared" ca="1" si="5"/>
        <v>0</v>
      </c>
      <c r="AA57" t="b">
        <f t="shared" ca="1" si="8"/>
        <v>1</v>
      </c>
      <c r="AC57" s="1">
        <f t="shared" ca="1" si="1"/>
        <v>8748.9998707008344</v>
      </c>
      <c r="AD57" s="1">
        <f t="shared" ca="1" si="6"/>
        <v>8748.9998707008344</v>
      </c>
      <c r="AE57" s="1"/>
      <c r="AF57" s="1"/>
      <c r="AG57" s="1"/>
      <c r="AH57" s="1"/>
      <c r="AI57" s="1"/>
    </row>
    <row r="58" spans="4:43">
      <c r="V58" s="1">
        <f t="shared" si="7"/>
        <v>2022</v>
      </c>
      <c r="W58" s="1">
        <f t="shared" ca="1" si="2"/>
        <v>103.12936782836913</v>
      </c>
      <c r="X58" s="1">
        <f t="shared" ca="1" si="3"/>
        <v>137.16205921173093</v>
      </c>
      <c r="Y58" s="1">
        <f t="shared" ca="1" si="4"/>
        <v>69.096676445007319</v>
      </c>
      <c r="Z58" s="1">
        <f t="shared" ca="1" si="5"/>
        <v>0</v>
      </c>
      <c r="AA58" t="b">
        <f t="shared" ca="1" si="8"/>
        <v>1</v>
      </c>
      <c r="AC58" s="1">
        <f t="shared" ca="1" si="1"/>
        <v>8085.5486964797974</v>
      </c>
      <c r="AD58" s="1">
        <f t="shared" ca="1" si="6"/>
        <v>8085.5486964797974</v>
      </c>
      <c r="AE58" s="1"/>
      <c r="AF58" s="1"/>
      <c r="AG58" s="1"/>
      <c r="AH58" s="1"/>
      <c r="AI58" s="1"/>
    </row>
    <row r="59" spans="4:43">
      <c r="V59" s="1">
        <f t="shared" si="7"/>
        <v>2023</v>
      </c>
      <c r="W59" s="1">
        <f t="shared" ca="1" si="2"/>
        <v>95.318841934204158</v>
      </c>
      <c r="X59" s="1">
        <f t="shared" ca="1" si="3"/>
        <v>126.77405977249154</v>
      </c>
      <c r="Y59" s="1">
        <f t="shared" ca="1" si="4"/>
        <v>63.863624095916791</v>
      </c>
      <c r="Z59" s="1">
        <f t="shared" ca="1" si="5"/>
        <v>0</v>
      </c>
      <c r="AA59" t="b">
        <f t="shared" ca="1" si="8"/>
        <v>1</v>
      </c>
      <c r="AC59" s="1">
        <f t="shared" ca="1" si="1"/>
        <v>7473.187845325474</v>
      </c>
      <c r="AD59" s="1">
        <f t="shared" ca="1" si="6"/>
        <v>7473.187845325474</v>
      </c>
      <c r="AE59" s="1"/>
      <c r="AF59" s="1"/>
      <c r="AG59" s="1"/>
      <c r="AH59" s="1"/>
      <c r="AI59" s="1"/>
    </row>
    <row r="60" spans="4:43">
      <c r="V60" s="1">
        <f t="shared" si="7"/>
        <v>2024</v>
      </c>
      <c r="W60" s="1">
        <f t="shared" ca="1" si="2"/>
        <v>88.108749389648466</v>
      </c>
      <c r="X60" s="1">
        <f t="shared" ca="1" si="3"/>
        <v>117.18463668823247</v>
      </c>
      <c r="Y60" s="1">
        <f t="shared" ca="1" si="4"/>
        <v>59.032862091064473</v>
      </c>
      <c r="Z60" s="1">
        <f t="shared" ca="1" si="5"/>
        <v>0</v>
      </c>
      <c r="AA60" t="b">
        <f t="shared" ca="1" si="8"/>
        <v>1</v>
      </c>
      <c r="AC60" s="1">
        <f t="shared" ca="1" si="1"/>
        <v>6907.9021696472191</v>
      </c>
      <c r="AD60" s="1">
        <f t="shared" ca="1" si="6"/>
        <v>6907.9021696472191</v>
      </c>
      <c r="AE60" s="1"/>
      <c r="AF60" s="1"/>
      <c r="AG60" s="1"/>
      <c r="AH60" s="1"/>
      <c r="AI60" s="1"/>
    </row>
    <row r="61" spans="4:43">
      <c r="V61" s="1">
        <f t="shared" si="7"/>
        <v>2025</v>
      </c>
      <c r="W61" s="1">
        <f t="shared" ca="1" si="2"/>
        <v>81.451969146728473</v>
      </c>
      <c r="X61" s="1">
        <f t="shared" ca="1" si="3"/>
        <v>108.33111896514887</v>
      </c>
      <c r="Y61" s="1">
        <f t="shared" ca="1" si="4"/>
        <v>54.572819328308078</v>
      </c>
      <c r="Z61" s="1">
        <f t="shared" ca="1" si="5"/>
        <v>0</v>
      </c>
      <c r="AA61" t="b">
        <f t="shared" ca="1" si="8"/>
        <v>1</v>
      </c>
      <c r="AC61" s="1">
        <f t="shared" ca="1" si="1"/>
        <v>6385.9972850418062</v>
      </c>
      <c r="AD61" s="1">
        <f t="shared" ca="1" si="6"/>
        <v>6385.9972850418062</v>
      </c>
      <c r="AE61" s="1"/>
      <c r="AF61" s="1"/>
      <c r="AG61" s="1"/>
      <c r="AH61" s="1"/>
      <c r="AI61" s="1"/>
    </row>
    <row r="62" spans="4:43">
      <c r="V62" s="1">
        <f t="shared" si="7"/>
        <v>2026</v>
      </c>
      <c r="W62" s="1">
        <f t="shared" ca="1" si="2"/>
        <v>75.305218696594238</v>
      </c>
      <c r="X62" s="1">
        <f t="shared" ca="1" si="3"/>
        <v>100.15594086647035</v>
      </c>
      <c r="Y62" s="1">
        <f t="shared" ca="1" si="4"/>
        <v>50.454496526718145</v>
      </c>
      <c r="Z62" s="1">
        <f t="shared" ca="1" si="5"/>
        <v>0</v>
      </c>
      <c r="AA62" t="b">
        <f t="shared" ca="1" si="8"/>
        <v>1</v>
      </c>
      <c r="AC62" s="1">
        <f t="shared" ca="1" si="1"/>
        <v>5904.0797562503813</v>
      </c>
      <c r="AD62" s="1">
        <f t="shared" ca="1" si="6"/>
        <v>5904.0797562503813</v>
      </c>
      <c r="AE62" s="1"/>
      <c r="AF62" s="1"/>
      <c r="AG62" s="1"/>
      <c r="AH62" s="1"/>
      <c r="AI62" s="1"/>
    </row>
    <row r="63" spans="4:43">
      <c r="V63" s="1">
        <f t="shared" si="7"/>
        <v>2027</v>
      </c>
      <c r="W63" s="1">
        <f t="shared" ca="1" si="2"/>
        <v>69.628658294677763</v>
      </c>
      <c r="X63" s="1">
        <f t="shared" ca="1" si="3"/>
        <v>92.606115531921432</v>
      </c>
      <c r="Y63" s="1">
        <f t="shared" ca="1" si="4"/>
        <v>46.651201057434101</v>
      </c>
      <c r="Z63" s="1">
        <f t="shared" ca="1" si="5"/>
        <v>0</v>
      </c>
      <c r="AA63" t="b">
        <f t="shared" ca="1" si="8"/>
        <v>1</v>
      </c>
      <c r="AC63" s="1">
        <f t="shared" ca="1" si="1"/>
        <v>5459.0260676193257</v>
      </c>
      <c r="AD63" s="1">
        <f t="shared" ca="1" si="6"/>
        <v>5459.0260676193257</v>
      </c>
      <c r="AE63" s="1"/>
      <c r="AF63" s="1"/>
      <c r="AG63" s="1"/>
      <c r="AH63" s="1"/>
      <c r="AI63" s="1"/>
    </row>
    <row r="64" spans="4:43">
      <c r="V64" s="1">
        <f t="shared" si="7"/>
        <v>2028</v>
      </c>
      <c r="W64" s="1">
        <f t="shared" ca="1" si="2"/>
        <v>64.385647773742733</v>
      </c>
      <c r="X64" s="1">
        <f t="shared" ca="1" si="3"/>
        <v>85.632911539077838</v>
      </c>
      <c r="Y64" s="1">
        <f t="shared" ca="1" si="4"/>
        <v>43.138384008407634</v>
      </c>
      <c r="Z64" s="1">
        <f t="shared" ca="1" si="5"/>
        <v>0</v>
      </c>
      <c r="AA64" t="b">
        <f t="shared" ca="1" si="8"/>
        <v>1</v>
      </c>
      <c r="AC64" s="1">
        <f t="shared" ca="1" si="1"/>
        <v>5047.9635567569767</v>
      </c>
      <c r="AD64" s="1">
        <f t="shared" ca="1" si="6"/>
        <v>5047.9635567569767</v>
      </c>
      <c r="AE64" s="1"/>
      <c r="AF64" s="1"/>
      <c r="AG64" s="1"/>
      <c r="AH64" s="1"/>
      <c r="AI64" s="1"/>
      <c r="AM64" s="1"/>
      <c r="AN64" s="1"/>
    </row>
    <row r="65" spans="22:40">
      <c r="V65" s="1">
        <f t="shared" si="7"/>
        <v>2029</v>
      </c>
      <c r="W65" s="1">
        <f t="shared" ca="1" si="2"/>
        <v>59.542474746704158</v>
      </c>
      <c r="X65" s="1">
        <f t="shared" ca="1" si="3"/>
        <v>79.191491413116538</v>
      </c>
      <c r="Y65" s="1">
        <f t="shared" ca="1" si="4"/>
        <v>39.893458080291786</v>
      </c>
      <c r="Z65" s="1">
        <f t="shared" ca="1" si="5"/>
        <v>0</v>
      </c>
      <c r="AA65" t="b">
        <f t="shared" ca="1" si="8"/>
        <v>1</v>
      </c>
      <c r="AC65" s="1">
        <f t="shared" ca="1" si="1"/>
        <v>4668.2491050910994</v>
      </c>
      <c r="AD65" s="1">
        <f t="shared" ca="1" si="6"/>
        <v>4668.2491050910994</v>
      </c>
      <c r="AE65" s="1"/>
      <c r="AF65" s="1"/>
      <c r="AG65" s="1"/>
      <c r="AH65" s="1"/>
      <c r="AI65" s="1"/>
      <c r="AM65" s="1"/>
      <c r="AN65" s="1"/>
    </row>
    <row r="66" spans="22:40">
      <c r="V66" s="1">
        <f t="shared" si="7"/>
        <v>2030</v>
      </c>
      <c r="W66" s="1">
        <f t="shared" ca="1" si="2"/>
        <v>55.068111419677763</v>
      </c>
      <c r="X66" s="1">
        <f t="shared" ca="1" si="3"/>
        <v>73.240588188171429</v>
      </c>
      <c r="Y66" s="1">
        <f t="shared" ca="1" si="4"/>
        <v>36.895634651184103</v>
      </c>
      <c r="Z66" s="1">
        <f t="shared" ca="1" si="5"/>
        <v>0</v>
      </c>
      <c r="AA66" t="b">
        <f t="shared" ca="1" si="8"/>
        <v>1</v>
      </c>
      <c r="AC66" s="1">
        <f t="shared" ca="1" si="1"/>
        <v>4317.4500715255754</v>
      </c>
      <c r="AD66" s="1">
        <f t="shared" ca="1" si="6"/>
        <v>4317.4500715255754</v>
      </c>
      <c r="AE66" s="1"/>
      <c r="AF66" s="1"/>
      <c r="AG66" s="1"/>
      <c r="AH66" s="1"/>
      <c r="AI66" s="1"/>
      <c r="AM66" s="1"/>
      <c r="AN66" s="1"/>
    </row>
    <row r="69" spans="22:40">
      <c r="V69" s="1"/>
      <c r="W69" s="1"/>
      <c r="X69" s="1"/>
      <c r="Y69" s="1"/>
      <c r="Z69" s="1"/>
      <c r="AC69" s="1"/>
      <c r="AD69" s="1"/>
      <c r="AE69" s="1"/>
      <c r="AF69" s="1"/>
      <c r="AG69" s="1"/>
      <c r="AH69" s="1"/>
      <c r="AI69" s="1"/>
      <c r="AM69" s="1"/>
      <c r="AN69" s="1"/>
    </row>
    <row r="70" spans="22:40">
      <c r="V70" s="1"/>
      <c r="W70" s="1"/>
      <c r="X70" s="1"/>
      <c r="Y70" s="1"/>
      <c r="Z70" s="1"/>
      <c r="AC70" s="1"/>
      <c r="AD70" s="1"/>
      <c r="AE70" s="1"/>
      <c r="AF70" s="1"/>
      <c r="AG70" s="1"/>
      <c r="AH70" s="1"/>
      <c r="AI70" s="1"/>
      <c r="AM70" s="1"/>
      <c r="AN70" s="1"/>
    </row>
    <row r="71" spans="22:40">
      <c r="V71" s="1"/>
      <c r="W71" s="1"/>
      <c r="X71" s="1"/>
      <c r="Y71" s="1"/>
      <c r="Z71" s="1"/>
      <c r="AC71" s="1"/>
      <c r="AD71" s="1"/>
      <c r="AE71" s="1"/>
      <c r="AF71" s="1"/>
      <c r="AG71" s="1"/>
      <c r="AH71" s="1"/>
      <c r="AI71" s="1"/>
      <c r="AM71" s="1"/>
      <c r="AN71" s="1"/>
    </row>
    <row r="72" spans="22:40">
      <c r="V72" s="1"/>
      <c r="W72" s="1"/>
      <c r="X72" s="1"/>
      <c r="Y72" s="1"/>
      <c r="Z72" s="1"/>
      <c r="AC72" s="1"/>
      <c r="AD72" s="1"/>
      <c r="AE72" s="1"/>
      <c r="AF72" s="1"/>
      <c r="AG72" s="1"/>
      <c r="AH72" s="1"/>
      <c r="AI72" s="1"/>
      <c r="AM72" s="1"/>
      <c r="AN72" s="1"/>
    </row>
    <row r="73" spans="22:40">
      <c r="V73" s="1"/>
      <c r="W73" s="1"/>
      <c r="X73" s="1"/>
      <c r="Y73" s="1"/>
      <c r="Z73" s="1"/>
      <c r="AC73" s="1"/>
      <c r="AD73" s="1"/>
      <c r="AE73" s="1"/>
      <c r="AF73" s="1"/>
      <c r="AG73" s="1"/>
      <c r="AH73" s="1"/>
      <c r="AI73" s="1"/>
      <c r="AM73" s="1"/>
      <c r="AN73" s="1"/>
    </row>
    <row r="74" spans="22:40">
      <c r="V74" s="1"/>
      <c r="W74" s="1"/>
      <c r="X74" s="1"/>
      <c r="Y74" s="1"/>
      <c r="Z74" s="1"/>
      <c r="AC74" s="1"/>
      <c r="AD74" s="1"/>
      <c r="AE74" s="1"/>
      <c r="AF74" s="1"/>
      <c r="AG74" s="1"/>
      <c r="AH74" s="1"/>
      <c r="AI74" s="1"/>
      <c r="AM74" s="1"/>
      <c r="AN74" s="1"/>
    </row>
    <row r="75" spans="22:40">
      <c r="V75" s="1"/>
      <c r="W75" s="1"/>
      <c r="X75" s="1"/>
      <c r="Y75" s="1"/>
      <c r="Z75" s="1"/>
      <c r="AC75" s="1"/>
      <c r="AD75" s="1"/>
      <c r="AE75" s="1"/>
      <c r="AF75" s="1"/>
      <c r="AG75" s="1"/>
      <c r="AH75" s="1"/>
      <c r="AI75" s="1"/>
      <c r="AM75" s="1"/>
      <c r="AN75" s="1"/>
    </row>
    <row r="76" spans="22:40">
      <c r="V76" s="1"/>
      <c r="W76" s="1"/>
      <c r="X76" s="1"/>
      <c r="Y76" s="1"/>
      <c r="Z76" s="1"/>
      <c r="AC76" s="1"/>
      <c r="AD76" s="1"/>
      <c r="AE76" s="1"/>
      <c r="AF76" s="1"/>
      <c r="AG76" s="1"/>
      <c r="AH76" s="1"/>
      <c r="AI76" s="1"/>
      <c r="AM76" s="1"/>
      <c r="AN76" s="1"/>
    </row>
    <row r="77" spans="22:40">
      <c r="V77" s="1"/>
      <c r="W77" s="1"/>
      <c r="X77" s="1"/>
      <c r="Y77" s="1"/>
      <c r="Z77" s="1"/>
      <c r="AC77" s="1"/>
      <c r="AD77" s="1"/>
      <c r="AE77" s="1"/>
      <c r="AF77" s="1"/>
      <c r="AG77" s="1"/>
      <c r="AH77" s="1"/>
      <c r="AI77" s="1"/>
      <c r="AM77" s="1"/>
      <c r="AN77" s="1"/>
    </row>
    <row r="78" spans="22:40">
      <c r="AM78" s="1"/>
      <c r="AN78" s="1"/>
    </row>
    <row r="79" spans="22:40">
      <c r="AM79" s="1"/>
      <c r="AN79" s="1"/>
    </row>
    <row r="80" spans="22:40">
      <c r="AM80" s="1"/>
      <c r="AN80" s="1"/>
    </row>
    <row r="81" spans="39:40">
      <c r="AM81" s="1"/>
      <c r="AN81" s="1"/>
    </row>
    <row r="82" spans="39:40">
      <c r="AM82" s="1"/>
      <c r="AN82" s="1"/>
    </row>
    <row r="83" spans="39:40">
      <c r="AM83" s="1"/>
      <c r="AN83" s="1"/>
    </row>
    <row r="84" spans="39:40">
      <c r="AM84" s="1"/>
      <c r="AN84" s="1"/>
    </row>
    <row r="159" spans="8:6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1" spans="8:52">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3" spans="8:52">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5" spans="8:52">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7" spans="8:52">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sheetData>
  <sheetProtection password="C94F" sheet="1" objects="1" scenarios="1"/>
  <dataValidations count="5">
    <dataValidation type="decimal" showInputMessage="1" showErrorMessage="1" errorTitle="Percentage only" error="Enter a percentage value between 0 and 100%" sqref="F41:F43">
      <formula1>0</formula1>
      <formula2>1</formula2>
    </dataValidation>
    <dataValidation type="whole" allowBlank="1" showErrorMessage="1" errorTitle="Numbers only" error="Numbers only" sqref="D8">
      <formula1>0</formula1>
      <formula2>10000000</formula2>
    </dataValidation>
    <dataValidation allowBlank="1" showInputMessage="1" showErrorMessage="1" error="Please enter a number between only" sqref="D2"/>
    <dataValidation type="whole" allowBlank="1" showErrorMessage="1" errorTitle="Numbers only" error="Please enter a number between Year of Site Opening and the Current Year." sqref="D6">
      <formula1>D4</formula1>
      <formula2>D2</formula2>
    </dataValidation>
    <dataValidation type="whole" allowBlank="1" showInputMessage="1" showErrorMessage="1" errorTitle="Numbers only" error="Please enter a number between 1900 and the Current Year." sqref="D4">
      <formula1>1900</formula1>
      <formula2>D2</formula2>
    </dataValidation>
  </dataValidations>
  <pageMargins left="0.7" right="0.7" top="0.75" bottom="0.75" header="0.3" footer="0.3"/>
  <pageSetup paperSize="9" orientation="portrait" verticalDpi="0"/>
  <drawing r:id="rId1"/>
  <legacyDrawing r:id="rId2"/>
</worksheet>
</file>

<file path=xl/worksheets/sheet7.xml><?xml version="1.0" encoding="utf-8"?>
<worksheet xmlns="http://schemas.openxmlformats.org/spreadsheetml/2006/main" xmlns:r="http://schemas.openxmlformats.org/officeDocument/2006/relationships">
  <dimension ref="A1:BP167"/>
  <sheetViews>
    <sheetView showGridLines="0" zoomScale="70" zoomScaleNormal="70" workbookViewId="0">
      <selection activeCell="A39" sqref="A39"/>
    </sheetView>
  </sheetViews>
  <sheetFormatPr defaultRowHeight="15" outlineLevelCol="1"/>
  <cols>
    <col min="1" max="1" width="105.77734375" customWidth="1"/>
    <col min="2" max="2" width="47.77734375" customWidth="1"/>
    <col min="3" max="3" width="6.44140625" customWidth="1"/>
    <col min="4" max="4" width="11" bestFit="1" customWidth="1"/>
    <col min="5" max="5" width="17.33203125" customWidth="1"/>
    <col min="6" max="6" width="11.5546875" customWidth="1"/>
    <col min="7" max="7" width="7.5546875" customWidth="1"/>
    <col min="8" max="8" width="53.77734375" customWidth="1"/>
    <col min="9" max="16" width="15.77734375" customWidth="1"/>
    <col min="17" max="19" width="6.88671875" customWidth="1"/>
    <col min="20" max="21" width="8.88671875" customWidth="1" outlineLevel="1"/>
    <col min="22" max="22" width="12.44140625" bestFit="1" customWidth="1" outlineLevel="1"/>
    <col min="23" max="23" width="35.77734375" bestFit="1" customWidth="1" outlineLevel="1"/>
    <col min="24" max="24" width="5.5546875" customWidth="1" outlineLevel="1"/>
    <col min="25" max="25" width="5.33203125" bestFit="1" customWidth="1" outlineLevel="1"/>
    <col min="26" max="26" width="11.6640625" bestFit="1" customWidth="1" outlineLevel="1"/>
    <col min="27" max="27" width="10.33203125" bestFit="1" customWidth="1" outlineLevel="1"/>
    <col min="28" max="28" width="1.77734375" customWidth="1" outlineLevel="1"/>
    <col min="29" max="29" width="37.44140625" bestFit="1" customWidth="1" outlineLevel="1"/>
    <col min="30" max="30" width="11.33203125" bestFit="1" customWidth="1" outlineLevel="1"/>
    <col min="31" max="35" width="1.77734375" customWidth="1" outlineLevel="1"/>
    <col min="36" max="41" width="8.88671875" customWidth="1" outlineLevel="1"/>
    <col min="42" max="42" width="4" customWidth="1" outlineLevel="1"/>
  </cols>
  <sheetData>
    <row r="1" spans="1:43" ht="24.95" customHeight="1" thickBot="1">
      <c r="A1" s="34" t="s">
        <v>83</v>
      </c>
      <c r="T1" t="str">
        <f ca="1">IF(T10&lt;&gt;"","Table Value","")</f>
        <v>Table Value</v>
      </c>
      <c r="AJ1">
        <v>1</v>
      </c>
      <c r="AK1">
        <v>5</v>
      </c>
      <c r="AL1">
        <f ca="1">SUMIF('Consolidated tables'!B:B,'Strumpshaw example'!$T$10,INDIRECT("'Consolidated tables'!"&amp;VLOOKUP(AJ1,AO:AP,2,FALSE)&amp;":"&amp;VLOOKUP(AJ1,AO:AP,2,FALSE)))</f>
        <v>1.005887298583984</v>
      </c>
      <c r="AM1" s="1">
        <f ca="1">SUMIF('Consolidated tables'!B:B,'Strumpshaw example'!$T$14,INDIRECT("'Consolidated tables'!"&amp;VLOOKUP(AJ1,AO:AP,2,FALSE)&amp;":"&amp;VLOOKUP(AJ1,AO:AP,2,FALSE)))</f>
        <v>78.863575983581498</v>
      </c>
      <c r="AN1" s="1">
        <f ca="1">SUMIF('Consolidated tables'!B:B,'Strumpshaw example'!$T$15,INDIRECT("'Consolidated tables'!"&amp;VLOOKUP(AJ1,AO:AP,2,FALSE)&amp;":"&amp;VLOOKUP(AJ1,AO:AP,2,FALSE)))</f>
        <v>0</v>
      </c>
      <c r="AP1" t="s">
        <v>58</v>
      </c>
      <c r="AQ1" s="1"/>
    </row>
    <row r="2" spans="1:43" ht="24" customHeight="1" thickBot="1">
      <c r="B2" s="71" t="s">
        <v>2</v>
      </c>
      <c r="D2" s="18">
        <f ca="1">YEAR(TODAY())</f>
        <v>2015</v>
      </c>
      <c r="E2" s="36" t="s">
        <v>8</v>
      </c>
      <c r="F2" s="18"/>
      <c r="G2" s="36" t="str">
        <f>"= Result Cell"</f>
        <v>= Result Cell</v>
      </c>
      <c r="AJ2">
        <v>2</v>
      </c>
      <c r="AK2">
        <v>5</v>
      </c>
      <c r="AL2">
        <f ca="1">SUMIF('Consolidated tables'!B:B,'Strumpshaw example'!$T$10,INDIRECT("'Consolidated tables'!"&amp;VLOOKUP(AJ2,AO:AP,2,FALSE)&amp;":"&amp;VLOOKUP(AJ2,AO:AP,2,FALSE)))</f>
        <v>0.98647033691406405</v>
      </c>
      <c r="AM2" s="1">
        <f ca="1">SUMIF('Consolidated tables'!B:B,'Strumpshaw example'!$T$14,INDIRECT("'Consolidated tables'!"&amp;VLOOKUP(AJ2,AO:AP,2,FALSE)&amp;":"&amp;VLOOKUP(AJ2,AO:AP,2,FALSE)))</f>
        <v>77.341247354736439</v>
      </c>
      <c r="AN2" s="1">
        <f ca="1">SUMIF('Consolidated tables'!B:B,'Strumpshaw example'!$T$15,INDIRECT("'Consolidated tables'!"&amp;VLOOKUP(AJ2,AO:AP,2,FALSE)&amp;":"&amp;VLOOKUP(AJ2,AO:AP,2,FALSE)))</f>
        <v>0</v>
      </c>
      <c r="AP2" t="s">
        <v>59</v>
      </c>
      <c r="AQ2" s="1"/>
    </row>
    <row r="3" spans="1:43" ht="24" customHeight="1" thickBot="1">
      <c r="B3" s="35"/>
      <c r="D3" s="11"/>
      <c r="E3" s="36"/>
      <c r="G3" s="36"/>
      <c r="AJ3">
        <v>3</v>
      </c>
      <c r="AK3">
        <v>5</v>
      </c>
      <c r="AL3">
        <f ca="1">SUMIF('Consolidated tables'!B:B,'Strumpshaw example'!$T$10,INDIRECT("'Consolidated tables'!"&amp;VLOOKUP(AJ3,AO:AP,2,FALSE)&amp;":"&amp;VLOOKUP(AJ3,AO:AP,2,FALSE)))</f>
        <v>0.87776512145996</v>
      </c>
      <c r="AM3" s="1">
        <f ca="1">SUMIF('Consolidated tables'!B:B,'Strumpshaw example'!$T$14,INDIRECT("'Consolidated tables'!"&amp;VLOOKUP(AJ3,AO:AP,2,FALSE)&amp;":"&amp;VLOOKUP(AJ3,AO:AP,2,FALSE)))</f>
        <v>68.818541052703779</v>
      </c>
      <c r="AN3" s="1">
        <f ca="1">SUMIF('Consolidated tables'!B:B,'Strumpshaw example'!$T$15,INDIRECT("'Consolidated tables'!"&amp;VLOOKUP(AJ3,AO:AP,2,FALSE)&amp;":"&amp;VLOOKUP(AJ3,AO:AP,2,FALSE)))</f>
        <v>0</v>
      </c>
      <c r="AP3" t="s">
        <v>60</v>
      </c>
      <c r="AQ3" s="1"/>
    </row>
    <row r="4" spans="1:43" ht="24" customHeight="1" thickBot="1">
      <c r="A4" s="35" t="s">
        <v>94</v>
      </c>
      <c r="B4" s="71" t="s">
        <v>4</v>
      </c>
      <c r="D4" s="33">
        <v>1972</v>
      </c>
      <c r="E4" s="36" t="s">
        <v>8</v>
      </c>
      <c r="F4" s="39"/>
      <c r="G4" s="36" t="str">
        <f>"= Text Entry Cell"</f>
        <v>= Text Entry Cell</v>
      </c>
      <c r="T4" t="s">
        <v>9</v>
      </c>
      <c r="U4" t="s">
        <v>9</v>
      </c>
      <c r="AJ4">
        <v>4</v>
      </c>
      <c r="AK4">
        <v>5</v>
      </c>
      <c r="AL4">
        <f ca="1">SUMIF('Consolidated tables'!B:B,'Strumpshaw example'!$T$10,INDIRECT("'Consolidated tables'!"&amp;VLOOKUP(AJ4,AO:AP,2,FALSE)&amp;":"&amp;VLOOKUP(AJ4,AO:AP,2,FALSE)))</f>
        <v>0.78837692260741998</v>
      </c>
      <c r="AM4" s="1">
        <f ca="1">SUMIF('Consolidated tables'!B:B,'Strumpshaw example'!$T$14,INDIRECT("'Consolidated tables'!"&amp;VLOOKUP(AJ4,AO:AP,2,FALSE)&amp;":"&amp;VLOOKUP(AJ4,AO:AP,2,FALSE)))</f>
        <v>61.810327486266935</v>
      </c>
      <c r="AN4" s="1">
        <f ca="1">SUMIF('Consolidated tables'!B:B,'Strumpshaw example'!$T$15,INDIRECT("'Consolidated tables'!"&amp;VLOOKUP(AJ4,AO:AP,2,FALSE)&amp;":"&amp;VLOOKUP(AJ4,AO:AP,2,FALSE)))</f>
        <v>0</v>
      </c>
      <c r="AP4" t="s">
        <v>61</v>
      </c>
      <c r="AQ4" s="1"/>
    </row>
    <row r="5" spans="1:43" ht="24" customHeight="1" thickBot="1">
      <c r="A5" s="36"/>
      <c r="B5" s="36"/>
      <c r="D5" s="11"/>
      <c r="E5" s="36"/>
      <c r="AJ5">
        <v>5</v>
      </c>
      <c r="AK5">
        <v>5</v>
      </c>
      <c r="AL5">
        <f ca="1">SUMIF('Consolidated tables'!B:B,'Strumpshaw example'!$T$10,INDIRECT("'Consolidated tables'!"&amp;VLOOKUP(AJ5,AO:AP,2,FALSE)&amp;":"&amp;VLOOKUP(AJ5,AO:AP,2,FALSE)))</f>
        <v>0.71481063842773596</v>
      </c>
      <c r="AM5" s="1">
        <f ca="1">SUMIF('Consolidated tables'!B:B,'Strumpshaw example'!$T$14,INDIRECT("'Consolidated tables'!"&amp;VLOOKUP(AJ5,AO:AP,2,FALSE)&amp;":"&amp;VLOOKUP(AJ5,AO:AP,2,FALSE)))</f>
        <v>56.042583674011361</v>
      </c>
      <c r="AN5" s="1">
        <f ca="1">SUMIF('Consolidated tables'!B:B,'Strumpshaw example'!$T$15,INDIRECT("'Consolidated tables'!"&amp;VLOOKUP(AJ5,AO:AP,2,FALSE)&amp;":"&amp;VLOOKUP(AJ5,AO:AP,2,FALSE)))</f>
        <v>0</v>
      </c>
      <c r="AP5" t="s">
        <v>68</v>
      </c>
      <c r="AQ5" s="1"/>
    </row>
    <row r="6" spans="1:43" ht="24" customHeight="1" thickBot="1">
      <c r="A6" s="37" t="s">
        <v>95</v>
      </c>
      <c r="B6" s="71" t="s">
        <v>3</v>
      </c>
      <c r="D6" s="33">
        <v>1988</v>
      </c>
      <c r="E6" s="36" t="s">
        <v>8</v>
      </c>
      <c r="T6" t="s">
        <v>10</v>
      </c>
      <c r="U6" t="s">
        <v>11</v>
      </c>
      <c r="AJ6">
        <v>6</v>
      </c>
      <c r="AK6">
        <f>AK1+5</f>
        <v>10</v>
      </c>
      <c r="AL6">
        <f ca="1">SUMIF('Consolidated tables'!B:B,'Strumpshaw example'!$T$10,INDIRECT("'Consolidated tables'!"&amp;VLOOKUP(AJ6,AO:AP,2,FALSE)&amp;":"&amp;VLOOKUP(AJ6,AO:AP,2,FALSE)))</f>
        <v>0.65162628173827997</v>
      </c>
      <c r="AM6" s="1">
        <f ca="1">SUMIF('Consolidated tables'!B:B,'Strumpshaw example'!$T$14,INDIRECT("'Consolidated tables'!"&amp;VLOOKUP(AJ6,AO:AP,2,FALSE)&amp;":"&amp;VLOOKUP(AJ6,AO:AP,2,FALSE)))</f>
        <v>51.088803740844625</v>
      </c>
      <c r="AN6" s="1">
        <f ca="1">SUMIF('Consolidated tables'!B:B,'Strumpshaw example'!$T$15,INDIRECT("'Consolidated tables'!"&amp;VLOOKUP(AJ6,AO:AP,2,FALSE)&amp;":"&amp;VLOOKUP(AJ6,AO:AP,2,FALSE)))</f>
        <v>0</v>
      </c>
      <c r="AP6" t="s">
        <v>62</v>
      </c>
      <c r="AQ6" s="1"/>
    </row>
    <row r="7" spans="1:43" ht="24" customHeight="1" thickBot="1">
      <c r="A7" s="36"/>
      <c r="B7" s="36"/>
      <c r="D7" s="11"/>
      <c r="E7" s="36"/>
      <c r="AJ7">
        <v>7</v>
      </c>
      <c r="AK7">
        <f t="shared" ref="AK7:AK50" si="0">AK2+5</f>
        <v>10</v>
      </c>
      <c r="AL7">
        <f ca="1">SUMIF('Consolidated tables'!B:B,'Strumpshaw example'!$T$10,INDIRECT("'Consolidated tables'!"&amp;VLOOKUP(AJ7,AO:AP,2,FALSE)&amp;":"&amp;VLOOKUP(AJ7,AO:AP,2,FALSE)))</f>
        <v>0.595885391235352</v>
      </c>
      <c r="AM7" s="1">
        <f ca="1">SUMIF('Consolidated tables'!B:B,'Strumpshaw example'!$T$14,INDIRECT("'Consolidated tables'!"&amp;VLOOKUP(AJ7,AO:AP,2,FALSE)&amp;":"&amp;VLOOKUP(AJ7,AO:AP,2,FALSE)))</f>
        <v>46.718606443634066</v>
      </c>
      <c r="AN7" s="1">
        <f ca="1">SUMIF('Consolidated tables'!B:B,'Strumpshaw example'!$T$15,INDIRECT("'Consolidated tables'!"&amp;VLOOKUP(AJ7,AO:AP,2,FALSE)&amp;":"&amp;VLOOKUP(AJ7,AO:AP,2,FALSE)))</f>
        <v>0</v>
      </c>
      <c r="AO7">
        <v>1</v>
      </c>
      <c r="AP7" t="s">
        <v>12</v>
      </c>
      <c r="AQ7" s="1"/>
    </row>
    <row r="8" spans="1:43" ht="24" customHeight="1" thickBot="1">
      <c r="A8" s="37" t="s">
        <v>98</v>
      </c>
      <c r="B8" s="71" t="s">
        <v>6</v>
      </c>
      <c r="D8" s="19">
        <v>1000</v>
      </c>
      <c r="E8" s="36" t="s">
        <v>99</v>
      </c>
      <c r="AJ8">
        <v>8</v>
      </c>
      <c r="AK8">
        <f t="shared" si="0"/>
        <v>10</v>
      </c>
      <c r="AL8">
        <f ca="1">SUMIF('Consolidated tables'!B:B,'Strumpshaw example'!$T$10,INDIRECT("'Consolidated tables'!"&amp;VLOOKUP(AJ8,AO:AP,2,FALSE)&amp;":"&amp;VLOOKUP(AJ8,AO:AP,2,FALSE)))</f>
        <v>0.54591938018798802</v>
      </c>
      <c r="AM8" s="1">
        <f ca="1">SUMIF('Consolidated tables'!B:B,'Strumpshaw example'!$T$14,INDIRECT("'Consolidated tables'!"&amp;VLOOKUP(AJ8,AO:AP,2,FALSE)&amp;":"&amp;VLOOKUP(AJ8,AO:AP,2,FALSE)))</f>
        <v>42.801171245498644</v>
      </c>
      <c r="AN8" s="1">
        <f ca="1">SUMIF('Consolidated tables'!B:B,'Strumpshaw example'!$T$15,INDIRECT("'Consolidated tables'!"&amp;VLOOKUP(AJ8,AO:AP,2,FALSE)&amp;":"&amp;VLOOKUP(AJ8,AO:AP,2,FALSE)))</f>
        <v>0</v>
      </c>
      <c r="AO8">
        <v>2</v>
      </c>
      <c r="AP8" t="s">
        <v>13</v>
      </c>
      <c r="AQ8" s="1"/>
    </row>
    <row r="9" spans="1:43" ht="24.95" customHeight="1">
      <c r="AJ9">
        <v>9</v>
      </c>
      <c r="AK9">
        <f t="shared" si="0"/>
        <v>10</v>
      </c>
      <c r="AL9">
        <f ca="1">SUMIF('Consolidated tables'!B:B,'Strumpshaw example'!$T$10,INDIRECT("'Consolidated tables'!"&amp;VLOOKUP(AJ9,AO:AP,2,FALSE)&amp;":"&amp;VLOOKUP(AJ9,AO:AP,2,FALSE)))</f>
        <v>0.50071277618408405</v>
      </c>
      <c r="AM9" s="1">
        <f ca="1">SUMIF('Consolidated tables'!B:B,'Strumpshaw example'!$T$14,INDIRECT("'Consolidated tables'!"&amp;VLOOKUP(AJ9,AO:AP,2,FALSE)&amp;":"&amp;VLOOKUP(AJ9,AO:AP,2,FALSE)))</f>
        <v>39.256883078384561</v>
      </c>
      <c r="AN9" s="1">
        <f ca="1">SUMIF('Consolidated tables'!B:B,'Strumpshaw example'!$T$15,INDIRECT("'Consolidated tables'!"&amp;VLOOKUP(AJ9,AO:AP,2,FALSE)&amp;":"&amp;VLOOKUP(AJ9,AO:AP,2,FALSE)))</f>
        <v>0</v>
      </c>
      <c r="AO9">
        <v>3</v>
      </c>
      <c r="AP9" t="s">
        <v>14</v>
      </c>
      <c r="AQ9" s="1"/>
    </row>
    <row r="10" spans="1:43" ht="26.25">
      <c r="A10" s="31" t="s">
        <v>72</v>
      </c>
      <c r="Q10" s="2"/>
      <c r="R10" s="2"/>
      <c r="S10" s="2"/>
      <c r="T10" s="3">
        <f ca="1">IF(COUNTA(D2:D8)=4,VLOOKUP(D39,AJ:AK,2,FALSE),"")</f>
        <v>20</v>
      </c>
      <c r="U10">
        <f ca="1">VLOOKUP(T10,'Consolidated tables'!B:G,6,FALSE)</f>
        <v>1.005887298583984</v>
      </c>
      <c r="V10">
        <f ca="1">VLOOKUP(T10,'Consolidated tables'!B:G,6,FALSE)</f>
        <v>1.005887298583984</v>
      </c>
      <c r="AJ10">
        <v>10</v>
      </c>
      <c r="AK10">
        <f t="shared" si="0"/>
        <v>10</v>
      </c>
      <c r="AL10">
        <f ca="1">SUMIF('Consolidated tables'!B:B,'Strumpshaw example'!$T$10,INDIRECT("'Consolidated tables'!"&amp;VLOOKUP(AJ10,AO:AP,2,FALSE)&amp;":"&amp;VLOOKUP(AJ10,AO:AP,2,FALSE)))</f>
        <v>0.459593048095704</v>
      </c>
      <c r="AM10" s="1">
        <f ca="1">SUMIF('Consolidated tables'!B:B,'Strumpshaw example'!$T$14,INDIRECT("'Consolidated tables'!"&amp;VLOOKUP(AJ10,AO:AP,2,FALSE)&amp;":"&amp;VLOOKUP(AJ10,AO:AP,2,FALSE)))</f>
        <v>36.033014156799389</v>
      </c>
      <c r="AN10" s="1">
        <f ca="1">SUMIF('Consolidated tables'!B:B,'Strumpshaw example'!$T$15,INDIRECT("'Consolidated tables'!"&amp;VLOOKUP(AJ10,AO:AP,2,FALSE)&amp;":"&amp;VLOOKUP(AJ10,AO:AP,2,FALSE)))</f>
        <v>0</v>
      </c>
      <c r="AO10">
        <v>4</v>
      </c>
      <c r="AP10" t="s">
        <v>15</v>
      </c>
      <c r="AQ10" s="1"/>
    </row>
    <row r="11" spans="1:43" ht="20.100000000000001" customHeight="1">
      <c r="Q11" s="2"/>
      <c r="R11" s="2"/>
      <c r="S11" s="2"/>
      <c r="T11" s="3"/>
      <c r="AJ11">
        <v>11</v>
      </c>
      <c r="AK11">
        <f t="shared" si="0"/>
        <v>15</v>
      </c>
      <c r="AL11">
        <f ca="1">SUMIF('Consolidated tables'!B:B,'Strumpshaw example'!$T$10,INDIRECT("'Consolidated tables'!"&amp;VLOOKUP(AJ11,AO:AP,2,FALSE)&amp;":"&amp;VLOOKUP(AJ11,AO:AP,2,FALSE)))</f>
        <v>0.42207427978515599</v>
      </c>
      <c r="AM11" s="1">
        <f ca="1">SUMIF('Consolidated tables'!B:B,'Strumpshaw example'!$T$14,INDIRECT("'Consolidated tables'!"&amp;VLOOKUP(AJ11,AO:AP,2,FALSE)&amp;":"&amp;VLOOKUP(AJ11,AO:AP,2,FALSE)))</f>
        <v>33.091467683715805</v>
      </c>
      <c r="AN11" s="1">
        <f ca="1">SUMIF('Consolidated tables'!B:B,'Strumpshaw example'!$T$15,INDIRECT("'Consolidated tables'!"&amp;VLOOKUP(AJ11,AO:AP,2,FALSE)&amp;":"&amp;VLOOKUP(AJ11,AO:AP,2,FALSE)))</f>
        <v>0</v>
      </c>
      <c r="AO11">
        <v>5</v>
      </c>
      <c r="AP11" t="s">
        <v>16</v>
      </c>
      <c r="AQ11" s="1"/>
    </row>
    <row r="12" spans="1:43" ht="20.100000000000001" customHeight="1">
      <c r="Q12" s="13"/>
      <c r="R12" s="13"/>
      <c r="S12" s="13"/>
      <c r="T12" s="4">
        <f ca="1">T10+1</f>
        <v>21</v>
      </c>
      <c r="U12">
        <f ca="1">VLOOKUP(T12,'Consolidated tables'!B:H,7,FALSE)</f>
        <v>1.0196832696770803</v>
      </c>
      <c r="AJ12">
        <v>12</v>
      </c>
      <c r="AK12">
        <f t="shared" si="0"/>
        <v>15</v>
      </c>
      <c r="AL12">
        <f ca="1">SUMIF('Consolidated tables'!B:B,'Strumpshaw example'!$T$10,INDIRECT("'Consolidated tables'!"&amp;VLOOKUP(AJ12,AO:AP,2,FALSE)&amp;":"&amp;VLOOKUP(AJ12,AO:AP,2,FALSE)))</f>
        <v>0.38777732849121077</v>
      </c>
      <c r="AM12" s="1">
        <f ca="1">SUMIF('Consolidated tables'!B:B,'Strumpshaw example'!$T$14,INDIRECT("'Consolidated tables'!"&amp;VLOOKUP(AJ12,AO:AP,2,FALSE)&amp;":"&amp;VLOOKUP(AJ12,AO:AP,2,FALSE)))</f>
        <v>30.402518108367911</v>
      </c>
      <c r="AN12" s="1">
        <f ca="1">SUMIF('Consolidated tables'!B:B,'Strumpshaw example'!$T$15,INDIRECT("'Consolidated tables'!"&amp;VLOOKUP(AJ12,AO:AP,2,FALSE)&amp;":"&amp;VLOOKUP(AJ12,AO:AP,2,FALSE)))</f>
        <v>0</v>
      </c>
      <c r="AO12">
        <v>6</v>
      </c>
      <c r="AP12" t="s">
        <v>17</v>
      </c>
      <c r="AQ12" s="1"/>
    </row>
    <row r="13" spans="1:43" ht="20.100000000000001" customHeight="1">
      <c r="Q13" s="2"/>
      <c r="R13" s="2"/>
      <c r="S13" s="2"/>
      <c r="T13" s="4"/>
      <c r="AJ13">
        <v>13</v>
      </c>
      <c r="AK13">
        <f t="shared" si="0"/>
        <v>15</v>
      </c>
      <c r="AL13">
        <f ca="1">SUMIF('Consolidated tables'!B:B,'Strumpshaw example'!$T$10,INDIRECT("'Consolidated tables'!"&amp;VLOOKUP(AJ13,AO:AP,2,FALSE)&amp;":"&amp;VLOOKUP(AJ13,AO:AP,2,FALSE)))</f>
        <v>0.35638896942138681</v>
      </c>
      <c r="AM13" s="1">
        <f ca="1">SUMIF('Consolidated tables'!B:B,'Strumpshaw example'!$T$14,INDIRECT("'Consolidated tables'!"&amp;VLOOKUP(AJ13,AO:AP,2,FALSE)&amp;":"&amp;VLOOKUP(AJ13,AO:AP,2,FALSE)))</f>
        <v>27.941607980575572</v>
      </c>
      <c r="AN13" s="1">
        <f ca="1">SUMIF('Consolidated tables'!B:B,'Strumpshaw example'!$T$15,INDIRECT("'Consolidated tables'!"&amp;VLOOKUP(AJ13,AO:AP,2,FALSE)&amp;":"&amp;VLOOKUP(AJ13,AO:AP,2,FALSE)))</f>
        <v>0</v>
      </c>
      <c r="AO13">
        <v>7</v>
      </c>
      <c r="AP13" t="s">
        <v>18</v>
      </c>
      <c r="AQ13" s="1"/>
    </row>
    <row r="14" spans="1:43" ht="20.100000000000001" customHeight="1">
      <c r="Q14" s="2"/>
      <c r="R14" s="2"/>
      <c r="S14" s="2"/>
      <c r="T14" s="4">
        <f ca="1">T10+2</f>
        <v>22</v>
      </c>
      <c r="AJ14">
        <v>14</v>
      </c>
      <c r="AK14">
        <f t="shared" si="0"/>
        <v>15</v>
      </c>
      <c r="AL14">
        <f ca="1">SUMIF('Consolidated tables'!B:B,'Strumpshaw example'!$T$10,INDIRECT("'Consolidated tables'!"&amp;VLOOKUP(AJ14,AO:AP,2,FALSE)&amp;":"&amp;VLOOKUP(AJ14,AO:AP,2,FALSE)))</f>
        <v>0.32763992309570322</v>
      </c>
      <c r="AM14" s="1">
        <f ca="1">SUMIF('Consolidated tables'!B:B,'Strumpshaw example'!$T$14,INDIRECT("'Consolidated tables'!"&amp;VLOOKUP(AJ14,AO:AP,2,FALSE)&amp;":"&amp;VLOOKUP(AJ14,AO:AP,2,FALSE)))</f>
        <v>25.687625250549324</v>
      </c>
      <c r="AN14" s="1">
        <f ca="1">SUMIF('Consolidated tables'!B:B,'Strumpshaw example'!$T$15,INDIRECT("'Consolidated tables'!"&amp;VLOOKUP(AJ14,AO:AP,2,FALSE)&amp;":"&amp;VLOOKUP(AJ14,AO:AP,2,FALSE)))</f>
        <v>0</v>
      </c>
      <c r="AO14">
        <v>8</v>
      </c>
      <c r="AP14" t="s">
        <v>19</v>
      </c>
      <c r="AQ14" s="1"/>
    </row>
    <row r="15" spans="1:43" ht="20.100000000000001" customHeight="1">
      <c r="Q15" s="2"/>
      <c r="R15" s="2"/>
      <c r="S15" s="2"/>
      <c r="T15" s="4">
        <v>18</v>
      </c>
      <c r="AJ15">
        <v>15</v>
      </c>
      <c r="AK15">
        <f t="shared" si="0"/>
        <v>15</v>
      </c>
      <c r="AL15">
        <f ca="1">SUMIF('Consolidated tables'!B:B,'Strumpshaw example'!$T$10,INDIRECT("'Consolidated tables'!"&amp;VLOOKUP(AJ15,AO:AP,2,FALSE)&amp;":"&amp;VLOOKUP(AJ15,AO:AP,2,FALSE)))</f>
        <v>0.30129331588745123</v>
      </c>
      <c r="AM15" s="1">
        <f ca="1">SUMIF('Consolidated tables'!B:B,'Strumpshaw example'!$T$14,INDIRECT("'Consolidated tables'!"&amp;VLOOKUP(AJ15,AO:AP,2,FALSE)&amp;":"&amp;VLOOKUP(AJ15,AO:AP,2,FALSE)))</f>
        <v>23.621998552207952</v>
      </c>
      <c r="AN15" s="1">
        <f ca="1">SUMIF('Consolidated tables'!B:B,'Strumpshaw example'!$T$15,INDIRECT("'Consolidated tables'!"&amp;VLOOKUP(AJ15,AO:AP,2,FALSE)&amp;":"&amp;VLOOKUP(AJ15,AO:AP,2,FALSE)))</f>
        <v>0</v>
      </c>
      <c r="AO15">
        <v>9</v>
      </c>
      <c r="AP15" t="s">
        <v>20</v>
      </c>
      <c r="AQ15" s="1"/>
    </row>
    <row r="16" spans="1:43" ht="20.100000000000001" customHeight="1">
      <c r="V16" t="s">
        <v>8</v>
      </c>
      <c r="W16" t="s">
        <v>89</v>
      </c>
      <c r="X16" s="9" t="s">
        <v>96</v>
      </c>
      <c r="Y16" s="10" t="s">
        <v>97</v>
      </c>
      <c r="Z16" t="s">
        <v>2</v>
      </c>
      <c r="AA16" t="s">
        <v>90</v>
      </c>
      <c r="AC16" t="s">
        <v>85</v>
      </c>
      <c r="AD16" s="40" t="s">
        <v>87</v>
      </c>
      <c r="AE16" s="10"/>
      <c r="AG16" s="10"/>
      <c r="AH16" s="10"/>
      <c r="AJ16">
        <v>16</v>
      </c>
      <c r="AK16">
        <f t="shared" si="0"/>
        <v>20</v>
      </c>
      <c r="AL16">
        <f ca="1">SUMIF('Consolidated tables'!B:B,'Strumpshaw example'!$T$10,INDIRECT("'Consolidated tables'!"&amp;VLOOKUP(AJ16,AO:AP,2,FALSE)&amp;":"&amp;VLOOKUP(AJ16,AO:AP,2,FALSE)))</f>
        <v>0.27713743209838881</v>
      </c>
      <c r="AM16" s="1">
        <f ca="1">SUMIF('Consolidated tables'!B:B,'Strumpshaw example'!$T$14,INDIRECT("'Consolidated tables'!"&amp;VLOOKUP(AJ16,AO:AP,2,FALSE)&amp;":"&amp;VLOOKUP(AJ16,AO:AP,2,FALSE)))</f>
        <v>21.728128951377883</v>
      </c>
      <c r="AN16" s="1">
        <f ca="1">SUMIF('Consolidated tables'!B:B,'Strumpshaw example'!$T$15,INDIRECT("'Consolidated tables'!"&amp;VLOOKUP(AJ16,AO:AP,2,FALSE)&amp;":"&amp;VLOOKUP(AJ16,AO:AP,2,FALSE)))</f>
        <v>0</v>
      </c>
      <c r="AO16">
        <v>10</v>
      </c>
      <c r="AP16" t="s">
        <v>21</v>
      </c>
      <c r="AQ16" s="1"/>
    </row>
    <row r="17" spans="1:43" ht="20.100000000000001" customHeight="1">
      <c r="A17" s="11"/>
      <c r="D17" s="11"/>
      <c r="V17" s="1">
        <f>D6</f>
        <v>1988</v>
      </c>
      <c r="W17" s="1">
        <f ca="1">AL1*$D$8</f>
        <v>1005.8872985839839</v>
      </c>
      <c r="X17" s="1">
        <f ca="1">W17*1.33</f>
        <v>1337.8301071166986</v>
      </c>
      <c r="Y17" s="1">
        <f ca="1">W17*0.67</f>
        <v>673.94449005126921</v>
      </c>
      <c r="Z17" s="1">
        <f ca="1">IF(V17=$D$2,1,0)</f>
        <v>0</v>
      </c>
      <c r="AA17" t="b">
        <f ca="1">IF(Z17=1,TRUE,FALSE)</f>
        <v>0</v>
      </c>
      <c r="AC17" s="1">
        <f t="shared" ref="AC17:AC66" ca="1" si="1">AM1*$D$8</f>
        <v>78863.575983581497</v>
      </c>
      <c r="AD17" s="1">
        <f ca="1">IF(AA17=TRUE,AC17,0)</f>
        <v>0</v>
      </c>
      <c r="AE17" s="1"/>
      <c r="AF17" s="1"/>
      <c r="AG17" s="1"/>
      <c r="AH17" s="1"/>
      <c r="AI17" s="1"/>
      <c r="AJ17">
        <v>17</v>
      </c>
      <c r="AK17">
        <f t="shared" si="0"/>
        <v>20</v>
      </c>
      <c r="AL17">
        <f ca="1">SUMIF('Consolidated tables'!B:B,'Strumpshaw example'!$T$10,INDIRECT("'Consolidated tables'!"&amp;VLOOKUP(AJ17,AO:AP,2,FALSE)&amp;":"&amp;VLOOKUP(AJ17,AO:AP,2,FALSE)))</f>
        <v>0.25498161315917961</v>
      </c>
      <c r="AM17" s="1">
        <f ca="1">SUMIF('Consolidated tables'!B:B,'Strumpshaw example'!$T$14,INDIRECT("'Consolidated tables'!"&amp;VLOOKUP(AJ17,AO:AP,2,FALSE)&amp;":"&amp;VLOOKUP(AJ17,AO:AP,2,FALSE)))</f>
        <v>19.991068434906001</v>
      </c>
      <c r="AN17" s="1">
        <f ca="1">SUMIF('Consolidated tables'!B:B,'Strumpshaw example'!$T$15,INDIRECT("'Consolidated tables'!"&amp;VLOOKUP(AJ17,AO:AP,2,FALSE)&amp;":"&amp;VLOOKUP(AJ17,AO:AP,2,FALSE)))</f>
        <v>0</v>
      </c>
      <c r="AO17">
        <v>11</v>
      </c>
      <c r="AP17" t="s">
        <v>22</v>
      </c>
      <c r="AQ17" s="1"/>
    </row>
    <row r="18" spans="1:43" ht="20.100000000000001" customHeight="1">
      <c r="A18" s="11"/>
      <c r="D18" s="11"/>
      <c r="V18" s="1">
        <f>V17+1</f>
        <v>1989</v>
      </c>
      <c r="W18" s="1">
        <f t="shared" ref="W18:W66" ca="1" si="2">AL2*$D$8</f>
        <v>986.47033691406409</v>
      </c>
      <c r="X18" s="1">
        <f t="shared" ref="X18:X66" ca="1" si="3">W18*1.33</f>
        <v>1312.0055480957053</v>
      </c>
      <c r="Y18" s="1">
        <f t="shared" ref="Y18:Y66" ca="1" si="4">W18*0.67</f>
        <v>660.93512573242299</v>
      </c>
      <c r="Z18" s="1">
        <f t="shared" ref="Z18:Z66" ca="1" si="5">IF(V18=$D$2,1,0)</f>
        <v>0</v>
      </c>
      <c r="AA18" t="b">
        <f ca="1">IF(Z18=1,TRUE,IF(AA17=TRUE,TRUE,FALSE))</f>
        <v>0</v>
      </c>
      <c r="AC18" s="1">
        <f t="shared" ca="1" si="1"/>
        <v>77341.247354736435</v>
      </c>
      <c r="AD18" s="1">
        <f t="shared" ref="AD18:AD66" ca="1" si="6">IF(AA18=TRUE,AC18,0)</f>
        <v>0</v>
      </c>
      <c r="AE18" s="1"/>
      <c r="AF18" s="1"/>
      <c r="AG18" s="1"/>
      <c r="AH18" s="1"/>
      <c r="AI18" s="1"/>
      <c r="AJ18">
        <v>18</v>
      </c>
      <c r="AK18">
        <f t="shared" si="0"/>
        <v>20</v>
      </c>
      <c r="AL18">
        <f ca="1">SUMIF('Consolidated tables'!B:B,'Strumpshaw example'!$T$10,INDIRECT("'Consolidated tables'!"&amp;VLOOKUP(AJ18,AO:AP,2,FALSE)&amp;":"&amp;VLOOKUP(AJ18,AO:AP,2,FALSE)))</f>
        <v>0.23465324401855481</v>
      </c>
      <c r="AM18" s="1">
        <f ca="1">SUMIF('Consolidated tables'!B:B,'Strumpshaw example'!$T$14,INDIRECT("'Consolidated tables'!"&amp;VLOOKUP(AJ18,AO:AP,2,FALSE)&amp;":"&amp;VLOOKUP(AJ18,AO:AP,2,FALSE)))</f>
        <v>18.397283637542735</v>
      </c>
      <c r="AN18" s="1">
        <f ca="1">SUMIF('Consolidated tables'!B:B,'Strumpshaw example'!$T$15,INDIRECT("'Consolidated tables'!"&amp;VLOOKUP(AJ18,AO:AP,2,FALSE)&amp;":"&amp;VLOOKUP(AJ18,AO:AP,2,FALSE)))</f>
        <v>0</v>
      </c>
      <c r="AO18">
        <v>12</v>
      </c>
      <c r="AP18" t="s">
        <v>23</v>
      </c>
      <c r="AQ18" s="1"/>
    </row>
    <row r="19" spans="1:43">
      <c r="V19" s="1">
        <f t="shared" ref="V19:V66" si="7">V18+1</f>
        <v>1990</v>
      </c>
      <c r="W19" s="1">
        <f t="shared" ca="1" si="2"/>
        <v>877.76512145996003</v>
      </c>
      <c r="X19" s="1">
        <f t="shared" ca="1" si="3"/>
        <v>1167.427611541747</v>
      </c>
      <c r="Y19" s="1">
        <f t="shared" ca="1" si="4"/>
        <v>588.10263137817321</v>
      </c>
      <c r="Z19" s="1">
        <f t="shared" ca="1" si="5"/>
        <v>0</v>
      </c>
      <c r="AA19" t="b">
        <f t="shared" ref="AA19:AA66" ca="1" si="8">IF(Z19=1,TRUE,IF(AA18=TRUE,TRUE,FALSE))</f>
        <v>0</v>
      </c>
      <c r="AC19" s="1">
        <f t="shared" ca="1" si="1"/>
        <v>68818.541052703775</v>
      </c>
      <c r="AD19" s="1">
        <f t="shared" ca="1" si="6"/>
        <v>0</v>
      </c>
      <c r="AE19" s="1"/>
      <c r="AF19" s="1"/>
      <c r="AG19" s="1"/>
      <c r="AH19" s="1"/>
      <c r="AI19" s="1"/>
      <c r="AJ19">
        <v>19</v>
      </c>
      <c r="AK19">
        <f>AK14+5</f>
        <v>20</v>
      </c>
      <c r="AL19">
        <f ca="1">SUMIF('Consolidated tables'!B:B,'Strumpshaw example'!$T$10,INDIRECT("'Consolidated tables'!"&amp;VLOOKUP(AJ19,AO:AP,2,FALSE)&amp;":"&amp;VLOOKUP(AJ19,AO:AP,2,FALSE)))</f>
        <v>0.21599567413330081</v>
      </c>
      <c r="AM19" s="1">
        <f ca="1">SUMIF('Consolidated tables'!B:B,'Strumpshaw example'!$T$14,INDIRECT("'Consolidated tables'!"&amp;VLOOKUP(AJ19,AO:AP,2,FALSE)&amp;":"&amp;VLOOKUP(AJ19,AO:AP,2,FALSE)))</f>
        <v>16.934492843399049</v>
      </c>
      <c r="AN19" s="1">
        <f ca="1">SUMIF('Consolidated tables'!B:B,'Strumpshaw example'!$T$15,INDIRECT("'Consolidated tables'!"&amp;VLOOKUP(AJ19,AO:AP,2,FALSE)&amp;":"&amp;VLOOKUP(AJ19,AO:AP,2,FALSE)))</f>
        <v>0</v>
      </c>
      <c r="AO19">
        <v>13</v>
      </c>
      <c r="AP19" t="s">
        <v>24</v>
      </c>
      <c r="AQ19" s="1"/>
    </row>
    <row r="20" spans="1:43">
      <c r="V20" s="1">
        <f t="shared" si="7"/>
        <v>1991</v>
      </c>
      <c r="W20" s="1">
        <f ca="1">AL4*$D$8</f>
        <v>788.37692260741994</v>
      </c>
      <c r="X20" s="1">
        <f t="shared" ca="1" si="3"/>
        <v>1048.5413070678685</v>
      </c>
      <c r="Y20" s="1">
        <f t="shared" ca="1" si="4"/>
        <v>528.21253814697138</v>
      </c>
      <c r="Z20" s="1">
        <f t="shared" ca="1" si="5"/>
        <v>0</v>
      </c>
      <c r="AA20" t="b">
        <f t="shared" ca="1" si="8"/>
        <v>0</v>
      </c>
      <c r="AC20" s="1">
        <f t="shared" ca="1" si="1"/>
        <v>61810.327486266935</v>
      </c>
      <c r="AD20" s="1">
        <f t="shared" ca="1" si="6"/>
        <v>0</v>
      </c>
      <c r="AE20" s="1"/>
      <c r="AF20" s="1"/>
      <c r="AG20" s="1"/>
      <c r="AH20" s="1"/>
      <c r="AI20" s="1"/>
      <c r="AJ20">
        <v>20</v>
      </c>
      <c r="AK20">
        <f>AK15+5</f>
        <v>20</v>
      </c>
      <c r="AL20">
        <f ca="1">SUMIF('Consolidated tables'!B:B,'Strumpshaw example'!$T$10,INDIRECT("'Consolidated tables'!"&amp;VLOOKUP(AJ20,AO:AP,2,FALSE)&amp;":"&amp;VLOOKUP(AJ20,AO:AP,2,FALSE)))</f>
        <v>0.1988663291931152</v>
      </c>
      <c r="AM20" s="1">
        <f ca="1">SUMIF('Consolidated tables'!B:B,'Strumpshaw example'!$T$14,INDIRECT("'Consolidated tables'!"&amp;VLOOKUP(AJ20,AO:AP,2,FALSE)&amp;":"&amp;VLOOKUP(AJ20,AO:AP,2,FALSE)))</f>
        <v>15.591517941398619</v>
      </c>
      <c r="AN20" s="1">
        <f ca="1">SUMIF('Consolidated tables'!B:B,'Strumpshaw example'!$T$15,INDIRECT("'Consolidated tables'!"&amp;VLOOKUP(AJ20,AO:AP,2,FALSE)&amp;":"&amp;VLOOKUP(AJ20,AO:AP,2,FALSE)))</f>
        <v>0</v>
      </c>
      <c r="AO20">
        <v>14</v>
      </c>
      <c r="AP20" t="s">
        <v>25</v>
      </c>
      <c r="AQ20" s="1"/>
    </row>
    <row r="21" spans="1:43">
      <c r="V21" s="1">
        <f t="shared" si="7"/>
        <v>1992</v>
      </c>
      <c r="W21" s="1">
        <f ca="1">AL5*$D$8</f>
        <v>714.81063842773597</v>
      </c>
      <c r="X21" s="1">
        <f t="shared" ca="1" si="3"/>
        <v>950.69814910888886</v>
      </c>
      <c r="Y21" s="1">
        <f t="shared" ca="1" si="4"/>
        <v>478.92312774658313</v>
      </c>
      <c r="Z21" s="1">
        <f t="shared" ca="1" si="5"/>
        <v>0</v>
      </c>
      <c r="AA21" t="b">
        <f t="shared" ca="1" si="8"/>
        <v>0</v>
      </c>
      <c r="AC21" s="1">
        <f t="shared" ca="1" si="1"/>
        <v>56042.583674011359</v>
      </c>
      <c r="AD21" s="1">
        <f t="shared" ca="1" si="6"/>
        <v>0</v>
      </c>
      <c r="AE21" s="1"/>
      <c r="AF21" s="1"/>
      <c r="AG21" s="1"/>
      <c r="AH21" s="1"/>
      <c r="AI21" s="1"/>
      <c r="AJ21">
        <v>21</v>
      </c>
      <c r="AK21">
        <f>AK16+5</f>
        <v>25</v>
      </c>
      <c r="AL21">
        <f ca="1">SUMIF('Consolidated tables'!B:B,'Strumpshaw example'!$T$10,INDIRECT("'Consolidated tables'!"&amp;VLOOKUP(AJ21,AO:AP,2,FALSE)&amp;":"&amp;VLOOKUP(AJ21,AO:AP,2,FALSE)))</f>
        <v>0.18313547134399399</v>
      </c>
      <c r="AM21" s="1">
        <f ca="1">SUMIF('Consolidated tables'!B:B,'Strumpshaw example'!$T$14,INDIRECT("'Consolidated tables'!"&amp;VLOOKUP(AJ21,AO:AP,2,FALSE)&amp;":"&amp;VLOOKUP(AJ21,AO:AP,2,FALSE)))</f>
        <v>14.35818722431182</v>
      </c>
      <c r="AN21" s="1">
        <f ca="1">SUMIF('Consolidated tables'!B:B,'Strumpshaw example'!$T$15,INDIRECT("'Consolidated tables'!"&amp;VLOOKUP(AJ21,AO:AP,2,FALSE)&amp;":"&amp;VLOOKUP(AJ21,AO:AP,2,FALSE)))</f>
        <v>0</v>
      </c>
      <c r="AO21">
        <v>15</v>
      </c>
      <c r="AP21" t="s">
        <v>26</v>
      </c>
      <c r="AQ21" s="1"/>
    </row>
    <row r="22" spans="1:43">
      <c r="V22" s="1">
        <f t="shared" si="7"/>
        <v>1993</v>
      </c>
      <c r="W22" s="1">
        <f t="shared" ca="1" si="2"/>
        <v>651.62628173828</v>
      </c>
      <c r="X22" s="1">
        <f t="shared" ca="1" si="3"/>
        <v>866.66295471191245</v>
      </c>
      <c r="Y22" s="1">
        <f t="shared" ca="1" si="4"/>
        <v>436.58960876464761</v>
      </c>
      <c r="Z22" s="1">
        <f t="shared" ca="1" si="5"/>
        <v>0</v>
      </c>
      <c r="AA22" t="b">
        <f t="shared" ca="1" si="8"/>
        <v>0</v>
      </c>
      <c r="AC22" s="1">
        <f t="shared" ca="1" si="1"/>
        <v>51088.803740844625</v>
      </c>
      <c r="AD22" s="1">
        <f t="shared" ca="1" si="6"/>
        <v>0</v>
      </c>
      <c r="AE22" s="1"/>
      <c r="AF22" s="1"/>
      <c r="AG22" s="1"/>
      <c r="AH22" s="1"/>
      <c r="AI22" s="1"/>
      <c r="AJ22">
        <v>22</v>
      </c>
      <c r="AK22">
        <f>AK17+5</f>
        <v>25</v>
      </c>
      <c r="AL22">
        <f ca="1">SUMIF('Consolidated tables'!B:B,'Strumpshaw example'!$T$10,INDIRECT("'Consolidated tables'!"&amp;VLOOKUP(AJ22,AO:AP,2,FALSE)&amp;":"&amp;VLOOKUP(AJ22,AO:AP,2,FALSE)))</f>
        <v>0.16868482589721678</v>
      </c>
      <c r="AM22" s="1">
        <f ca="1">SUMIF('Consolidated tables'!B:B,'Strumpshaw example'!$T$14,INDIRECT("'Consolidated tables'!"&amp;VLOOKUP(AJ22,AO:AP,2,FALSE)&amp;":"&amp;VLOOKUP(AJ22,AO:AP,2,FALSE)))</f>
        <v>13.22522771999359</v>
      </c>
      <c r="AN22" s="1">
        <f ca="1">SUMIF('Consolidated tables'!B:B,'Strumpshaw example'!$T$15,INDIRECT("'Consolidated tables'!"&amp;VLOOKUP(AJ22,AO:AP,2,FALSE)&amp;":"&amp;VLOOKUP(AJ22,AO:AP,2,FALSE)))</f>
        <v>0</v>
      </c>
      <c r="AO22">
        <v>16</v>
      </c>
      <c r="AP22" t="s">
        <v>27</v>
      </c>
      <c r="AQ22" s="1"/>
    </row>
    <row r="23" spans="1:43">
      <c r="V23" s="1">
        <f t="shared" si="7"/>
        <v>1994</v>
      </c>
      <c r="W23" s="1">
        <f t="shared" ca="1" si="2"/>
        <v>595.88539123535202</v>
      </c>
      <c r="X23" s="1">
        <f t="shared" ca="1" si="3"/>
        <v>792.52757034301817</v>
      </c>
      <c r="Y23" s="1">
        <f t="shared" ca="1" si="4"/>
        <v>399.24321212768587</v>
      </c>
      <c r="Z23" s="1">
        <f t="shared" ca="1" si="5"/>
        <v>0</v>
      </c>
      <c r="AA23" t="b">
        <f t="shared" ca="1" si="8"/>
        <v>0</v>
      </c>
      <c r="AC23" s="1">
        <f t="shared" ca="1" si="1"/>
        <v>46718.606443634068</v>
      </c>
      <c r="AD23" s="1">
        <f t="shared" ca="1" si="6"/>
        <v>0</v>
      </c>
      <c r="AE23" s="1"/>
      <c r="AF23" s="1"/>
      <c r="AG23" s="1"/>
      <c r="AH23" s="1"/>
      <c r="AI23" s="1"/>
      <c r="AJ23">
        <v>23</v>
      </c>
      <c r="AK23">
        <f>AK18+5</f>
        <v>25</v>
      </c>
      <c r="AL23">
        <f ca="1">SUMIF('Consolidated tables'!B:B,'Strumpshaw example'!$T$10,INDIRECT("'Consolidated tables'!"&amp;VLOOKUP(AJ23,AO:AP,2,FALSE)&amp;":"&amp;VLOOKUP(AJ23,AO:AP,2,FALSE)))</f>
        <v>0.1554065418243408</v>
      </c>
      <c r="AM23" s="1">
        <f ca="1">SUMIF('Consolidated tables'!B:B,'Strumpshaw example'!$T$14,INDIRECT("'Consolidated tables'!"&amp;VLOOKUP(AJ23,AO:AP,2,FALSE)&amp;":"&amp;VLOOKUP(AJ23,AO:AP,2,FALSE)))</f>
        <v>12.184183692111969</v>
      </c>
      <c r="AN23" s="1">
        <f ca="1">SUMIF('Consolidated tables'!B:B,'Strumpshaw example'!$T$15,INDIRECT("'Consolidated tables'!"&amp;VLOOKUP(AJ23,AO:AP,2,FALSE)&amp;":"&amp;VLOOKUP(AJ23,AO:AP,2,FALSE)))</f>
        <v>0</v>
      </c>
      <c r="AO23">
        <v>17</v>
      </c>
      <c r="AP23" t="s">
        <v>28</v>
      </c>
      <c r="AQ23" s="1"/>
    </row>
    <row r="24" spans="1:43">
      <c r="V24" s="1">
        <f t="shared" si="7"/>
        <v>1995</v>
      </c>
      <c r="W24" s="1">
        <f t="shared" ca="1" si="2"/>
        <v>545.91938018798805</v>
      </c>
      <c r="X24" s="1">
        <f t="shared" ca="1" si="3"/>
        <v>726.07277565002414</v>
      </c>
      <c r="Y24" s="1">
        <f t="shared" ca="1" si="4"/>
        <v>365.76598472595202</v>
      </c>
      <c r="Z24" s="1">
        <f t="shared" ca="1" si="5"/>
        <v>0</v>
      </c>
      <c r="AA24" t="b">
        <f t="shared" ca="1" si="8"/>
        <v>0</v>
      </c>
      <c r="AC24" s="1">
        <f t="shared" ca="1" si="1"/>
        <v>42801.171245498641</v>
      </c>
      <c r="AD24" s="1">
        <f t="shared" ca="1" si="6"/>
        <v>0</v>
      </c>
      <c r="AE24" s="1"/>
      <c r="AF24" s="1"/>
      <c r="AG24" s="1"/>
      <c r="AH24" s="1"/>
      <c r="AI24" s="1"/>
      <c r="AJ24">
        <v>24</v>
      </c>
      <c r="AK24">
        <f t="shared" si="0"/>
        <v>25</v>
      </c>
      <c r="AL24">
        <f ca="1">SUMIF('Consolidated tables'!B:B,'Strumpshaw example'!$T$10,INDIRECT("'Consolidated tables'!"&amp;VLOOKUP(AJ24,AO:AP,2,FALSE)&amp;":"&amp;VLOOKUP(AJ24,AO:AP,2,FALSE)))</f>
        <v>0.1432022476196288</v>
      </c>
      <c r="AM24" s="1">
        <f ca="1">SUMIF('Consolidated tables'!B:B,'Strumpshaw example'!$T$14,INDIRECT("'Consolidated tables'!"&amp;VLOOKUP(AJ24,AO:AP,2,FALSE)&amp;":"&amp;VLOOKUP(AJ24,AO:AP,2,FALSE)))</f>
        <v>11.227342617874136</v>
      </c>
      <c r="AN24" s="1">
        <f ca="1">SUMIF('Consolidated tables'!B:B,'Strumpshaw example'!$T$15,INDIRECT("'Consolidated tables'!"&amp;VLOOKUP(AJ24,AO:AP,2,FALSE)&amp;":"&amp;VLOOKUP(AJ24,AO:AP,2,FALSE)))</f>
        <v>0</v>
      </c>
      <c r="AO24">
        <v>18</v>
      </c>
      <c r="AP24" t="s">
        <v>29</v>
      </c>
      <c r="AQ24" s="1"/>
    </row>
    <row r="25" spans="1:43">
      <c r="V25" s="1">
        <f t="shared" si="7"/>
        <v>1996</v>
      </c>
      <c r="W25" s="1">
        <f t="shared" ca="1" si="2"/>
        <v>500.71277618408408</v>
      </c>
      <c r="X25" s="1">
        <f t="shared" ca="1" si="3"/>
        <v>665.94799232483183</v>
      </c>
      <c r="Y25" s="1">
        <f t="shared" ca="1" si="4"/>
        <v>335.47756004333633</v>
      </c>
      <c r="Z25" s="1">
        <f t="shared" ca="1" si="5"/>
        <v>0</v>
      </c>
      <c r="AA25" t="b">
        <f t="shared" ca="1" si="8"/>
        <v>0</v>
      </c>
      <c r="AC25" s="1">
        <f t="shared" ca="1" si="1"/>
        <v>39256.883078384562</v>
      </c>
      <c r="AD25" s="1">
        <f t="shared" ca="1" si="6"/>
        <v>0</v>
      </c>
      <c r="AE25" s="1"/>
      <c r="AF25" s="1"/>
      <c r="AG25" s="1"/>
      <c r="AH25" s="1"/>
      <c r="AI25" s="1"/>
      <c r="AJ25">
        <v>25</v>
      </c>
      <c r="AK25">
        <f t="shared" si="0"/>
        <v>25</v>
      </c>
      <c r="AL25">
        <f ca="1">SUMIF('Consolidated tables'!B:B,'Strumpshaw example'!$T$10,INDIRECT("'Consolidated tables'!"&amp;VLOOKUP(AJ25,AO:AP,2,FALSE)&amp;":"&amp;VLOOKUP(AJ25,AO:AP,2,FALSE)))</f>
        <v>0.13198213577270521</v>
      </c>
      <c r="AM25" s="1">
        <f ca="1">SUMIF('Consolidated tables'!B:B,'Strumpshaw example'!$T$14,INDIRECT("'Consolidated tables'!"&amp;VLOOKUP(AJ25,AO:AP,2,FALSE)&amp;":"&amp;VLOOKUP(AJ25,AO:AP,2,FALSE)))</f>
        <v>10.347663408851632</v>
      </c>
      <c r="AN25" s="1">
        <f ca="1">SUMIF('Consolidated tables'!B:B,'Strumpshaw example'!$T$15,INDIRECT("'Consolidated tables'!"&amp;VLOOKUP(AJ25,AO:AP,2,FALSE)&amp;":"&amp;VLOOKUP(AJ25,AO:AP,2,FALSE)))</f>
        <v>0</v>
      </c>
      <c r="AO25">
        <v>19</v>
      </c>
      <c r="AP25" t="s">
        <v>30</v>
      </c>
      <c r="AQ25" s="1"/>
    </row>
    <row r="26" spans="1:43">
      <c r="V26" s="1">
        <f t="shared" si="7"/>
        <v>1997</v>
      </c>
      <c r="W26" s="1">
        <f t="shared" ca="1" si="2"/>
        <v>459.59304809570398</v>
      </c>
      <c r="X26" s="1">
        <f t="shared" ca="1" si="3"/>
        <v>611.25875396728634</v>
      </c>
      <c r="Y26" s="1">
        <f t="shared" ca="1" si="4"/>
        <v>307.92734222412167</v>
      </c>
      <c r="Z26" s="1">
        <f t="shared" ca="1" si="5"/>
        <v>0</v>
      </c>
      <c r="AA26" t="b">
        <f t="shared" ca="1" si="8"/>
        <v>0</v>
      </c>
      <c r="AC26" s="1">
        <f t="shared" ca="1" si="1"/>
        <v>36033.014156799392</v>
      </c>
      <c r="AD26" s="1">
        <f t="shared" ca="1" si="6"/>
        <v>0</v>
      </c>
      <c r="AE26" s="1"/>
      <c r="AF26" s="1"/>
      <c r="AG26" s="1"/>
      <c r="AH26" s="1"/>
      <c r="AI26" s="1"/>
      <c r="AJ26">
        <v>26</v>
      </c>
      <c r="AK26">
        <f t="shared" si="0"/>
        <v>30</v>
      </c>
      <c r="AL26">
        <f ca="1">SUMIF('Consolidated tables'!B:B,'Strumpshaw example'!$T$10,INDIRECT("'Consolidated tables'!"&amp;VLOOKUP(AJ26,AO:AP,2,FALSE)&amp;":"&amp;VLOOKUP(AJ26,AO:AP,2,FALSE)))</f>
        <v>0.12166420936584479</v>
      </c>
      <c r="AM26" s="1">
        <f ca="1">SUMIF('Consolidated tables'!B:B,'Strumpshaw example'!$T$14,INDIRECT("'Consolidated tables'!"&amp;VLOOKUP(AJ26,AO:AP,2,FALSE)&amp;":"&amp;VLOOKUP(AJ26,AO:AP,2,FALSE)))</f>
        <v>9.5387173427009646</v>
      </c>
      <c r="AN26" s="1">
        <f ca="1">SUMIF('Consolidated tables'!B:B,'Strumpshaw example'!$T$15,INDIRECT("'Consolidated tables'!"&amp;VLOOKUP(AJ26,AO:AP,2,FALSE)&amp;":"&amp;VLOOKUP(AJ26,AO:AP,2,FALSE)))</f>
        <v>0</v>
      </c>
      <c r="AO26">
        <v>20</v>
      </c>
      <c r="AP26" t="s">
        <v>31</v>
      </c>
      <c r="AQ26" s="1"/>
    </row>
    <row r="27" spans="1:43">
      <c r="V27" s="1">
        <f t="shared" si="7"/>
        <v>1998</v>
      </c>
      <c r="W27" s="1">
        <f t="shared" ca="1" si="2"/>
        <v>422.07427978515597</v>
      </c>
      <c r="X27" s="1">
        <f t="shared" ca="1" si="3"/>
        <v>561.35879211425743</v>
      </c>
      <c r="Y27" s="1">
        <f t="shared" ca="1" si="4"/>
        <v>282.78976745605451</v>
      </c>
      <c r="Z27" s="1">
        <f t="shared" ca="1" si="5"/>
        <v>0</v>
      </c>
      <c r="AA27" t="b">
        <f t="shared" ca="1" si="8"/>
        <v>0</v>
      </c>
      <c r="AC27" s="1">
        <f t="shared" ca="1" si="1"/>
        <v>33091.467683715804</v>
      </c>
      <c r="AD27" s="1">
        <f t="shared" ca="1" si="6"/>
        <v>0</v>
      </c>
      <c r="AE27" s="1"/>
      <c r="AF27" s="1"/>
      <c r="AG27" s="1"/>
      <c r="AH27" s="1"/>
      <c r="AI27" s="1"/>
      <c r="AJ27">
        <v>27</v>
      </c>
      <c r="AK27">
        <f t="shared" si="0"/>
        <v>30</v>
      </c>
      <c r="AL27">
        <f ca="1">SUMIF('Consolidated tables'!B:B,'Strumpshaw example'!$T$10,INDIRECT("'Consolidated tables'!"&amp;VLOOKUP(AJ27,AO:AP,2,FALSE)&amp;":"&amp;VLOOKUP(AJ27,AO:AP,2,FALSE)))</f>
        <v>0.1121735668182372</v>
      </c>
      <c r="AM27" s="1">
        <f ca="1">SUMIF('Consolidated tables'!B:B,'Strumpshaw example'!$T$14,INDIRECT("'Consolidated tables'!"&amp;VLOOKUP(AJ27,AO:AP,2,FALSE)&amp;":"&amp;VLOOKUP(AJ27,AO:AP,2,FALSE)))</f>
        <v>8.7946319856834343</v>
      </c>
      <c r="AN27" s="1">
        <f ca="1">SUMIF('Consolidated tables'!B:B,'Strumpshaw example'!$T$15,INDIRECT("'Consolidated tables'!"&amp;VLOOKUP(AJ27,AO:AP,2,FALSE)&amp;":"&amp;VLOOKUP(AJ27,AO:AP,2,FALSE)))</f>
        <v>0</v>
      </c>
      <c r="AO27">
        <v>21</v>
      </c>
      <c r="AP27" t="s">
        <v>32</v>
      </c>
      <c r="AQ27" s="1"/>
    </row>
    <row r="28" spans="1:43">
      <c r="V28" s="1">
        <f>V27+1</f>
        <v>1999</v>
      </c>
      <c r="W28" s="1">
        <f t="shared" ca="1" si="2"/>
        <v>387.77732849121077</v>
      </c>
      <c r="X28" s="1">
        <f t="shared" ca="1" si="3"/>
        <v>515.74384689331032</v>
      </c>
      <c r="Y28" s="1">
        <f t="shared" ca="1" si="4"/>
        <v>259.81081008911121</v>
      </c>
      <c r="Z28" s="1">
        <f t="shared" ca="1" si="5"/>
        <v>0</v>
      </c>
      <c r="AA28" t="b">
        <f t="shared" ca="1" si="8"/>
        <v>0</v>
      </c>
      <c r="AC28" s="1">
        <f t="shared" ca="1" si="1"/>
        <v>30402.518108367909</v>
      </c>
      <c r="AD28" s="1">
        <f t="shared" ca="1" si="6"/>
        <v>0</v>
      </c>
      <c r="AE28" s="1"/>
      <c r="AF28" s="1"/>
      <c r="AG28" s="1"/>
      <c r="AH28" s="1"/>
      <c r="AI28" s="1"/>
      <c r="AJ28">
        <v>28</v>
      </c>
      <c r="AK28">
        <f t="shared" si="0"/>
        <v>30</v>
      </c>
      <c r="AL28">
        <f ca="1">SUMIF('Consolidated tables'!B:B,'Strumpshaw example'!$T$10,INDIRECT("'Consolidated tables'!"&amp;VLOOKUP(AJ28,AO:AP,2,FALSE)&amp;":"&amp;VLOOKUP(AJ28,AO:AP,2,FALSE)))</f>
        <v>0.10344175338745121</v>
      </c>
      <c r="AM28" s="1">
        <f ca="1">SUMIF('Consolidated tables'!B:B,'Strumpshaw example'!$T$14,INDIRECT("'Consolidated tables'!"&amp;VLOOKUP(AJ28,AO:AP,2,FALSE)&amp;":"&amp;VLOOKUP(AJ28,AO:AP,2,FALSE)))</f>
        <v>8.1100403490829507</v>
      </c>
      <c r="AN28" s="1">
        <f ca="1">SUMIF('Consolidated tables'!B:B,'Strumpshaw example'!$T$15,INDIRECT("'Consolidated tables'!"&amp;VLOOKUP(AJ28,AO:AP,2,FALSE)&amp;":"&amp;VLOOKUP(AJ28,AO:AP,2,FALSE)))</f>
        <v>0</v>
      </c>
      <c r="AO28">
        <v>22</v>
      </c>
      <c r="AP28" t="s">
        <v>33</v>
      </c>
      <c r="AQ28" s="1"/>
    </row>
    <row r="29" spans="1:43">
      <c r="V29" s="1">
        <f t="shared" si="7"/>
        <v>2000</v>
      </c>
      <c r="W29" s="1">
        <f t="shared" ca="1" si="2"/>
        <v>356.38896942138683</v>
      </c>
      <c r="X29" s="1">
        <f t="shared" ca="1" si="3"/>
        <v>473.99732933044453</v>
      </c>
      <c r="Y29" s="1">
        <f t="shared" ca="1" si="4"/>
        <v>238.78060951232919</v>
      </c>
      <c r="Z29" s="1">
        <f t="shared" ca="1" si="5"/>
        <v>0</v>
      </c>
      <c r="AA29" t="b">
        <f t="shared" ca="1" si="8"/>
        <v>0</v>
      </c>
      <c r="AC29" s="1">
        <f t="shared" ca="1" si="1"/>
        <v>27941.607980575573</v>
      </c>
      <c r="AD29" s="1">
        <f t="shared" ca="1" si="6"/>
        <v>0</v>
      </c>
      <c r="AE29" s="1"/>
      <c r="AF29" s="1"/>
      <c r="AG29" s="1"/>
      <c r="AH29" s="1"/>
      <c r="AI29" s="1"/>
      <c r="AJ29">
        <v>29</v>
      </c>
      <c r="AK29">
        <f t="shared" si="0"/>
        <v>30</v>
      </c>
      <c r="AL29">
        <f ca="1">SUMIF('Consolidated tables'!B:B,'Strumpshaw example'!$T$10,INDIRECT("'Consolidated tables'!"&amp;VLOOKUP(AJ29,AO:AP,2,FALSE)&amp;":"&amp;VLOOKUP(AJ29,AO:AP,2,FALSE)))</f>
        <v>9.5406198501586811E-2</v>
      </c>
      <c r="AM29" s="1">
        <f ca="1">SUMIF('Consolidated tables'!B:B,'Strumpshaw example'!$T$14,INDIRECT("'Consolidated tables'!"&amp;VLOOKUP(AJ29,AO:AP,2,FALSE)&amp;":"&amp;VLOOKUP(AJ29,AO:AP,2,FALSE)))</f>
        <v>7.4800367749214089</v>
      </c>
      <c r="AN29" s="1">
        <f ca="1">SUMIF('Consolidated tables'!B:B,'Strumpshaw example'!$T$15,INDIRECT("'Consolidated tables'!"&amp;VLOOKUP(AJ29,AO:AP,2,FALSE)&amp;":"&amp;VLOOKUP(AJ29,AO:AP,2,FALSE)))</f>
        <v>0</v>
      </c>
      <c r="AO29">
        <v>23</v>
      </c>
      <c r="AP29" t="s">
        <v>34</v>
      </c>
      <c r="AQ29" s="1"/>
    </row>
    <row r="30" spans="1:43">
      <c r="V30" s="1">
        <f t="shared" si="7"/>
        <v>2001</v>
      </c>
      <c r="W30" s="1">
        <f t="shared" ca="1" si="2"/>
        <v>327.63992309570324</v>
      </c>
      <c r="X30" s="1">
        <f t="shared" ca="1" si="3"/>
        <v>435.76109771728534</v>
      </c>
      <c r="Y30" s="1">
        <f t="shared" ca="1" si="4"/>
        <v>219.5187484741212</v>
      </c>
      <c r="Z30" s="1">
        <f t="shared" ca="1" si="5"/>
        <v>0</v>
      </c>
      <c r="AA30" t="b">
        <f t="shared" ca="1" si="8"/>
        <v>0</v>
      </c>
      <c r="AC30" s="1">
        <f t="shared" ca="1" si="1"/>
        <v>25687.625250549325</v>
      </c>
      <c r="AD30" s="1">
        <f t="shared" ca="1" si="6"/>
        <v>0</v>
      </c>
      <c r="AE30" s="1"/>
      <c r="AF30" s="1"/>
      <c r="AG30" s="1"/>
      <c r="AH30" s="1"/>
      <c r="AI30" s="1"/>
      <c r="AJ30">
        <v>30</v>
      </c>
      <c r="AK30">
        <f t="shared" si="0"/>
        <v>30</v>
      </c>
      <c r="AL30">
        <f ca="1">SUMIF('Consolidated tables'!B:B,'Strumpshaw example'!$T$10,INDIRECT("'Consolidated tables'!"&amp;VLOOKUP(AJ30,AO:AP,2,FALSE)&amp;":"&amp;VLOOKUP(AJ30,AO:AP,2,FALSE)))</f>
        <v>8.80096721649168E-2</v>
      </c>
      <c r="AM30" s="1">
        <f ca="1">SUMIF('Consolidated tables'!B:B,'Strumpshaw example'!$T$14,INDIRECT("'Consolidated tables'!"&amp;VLOOKUP(AJ30,AO:AP,2,FALSE)&amp;":"&amp;VLOOKUP(AJ30,AO:AP,2,FALSE)))</f>
        <v>6.9001343170738068</v>
      </c>
      <c r="AN30" s="1">
        <f ca="1">SUMIF('Consolidated tables'!B:B,'Strumpshaw example'!$T$15,INDIRECT("'Consolidated tables'!"&amp;VLOOKUP(AJ30,AO:AP,2,FALSE)&amp;":"&amp;VLOOKUP(AJ30,AO:AP,2,FALSE)))</f>
        <v>0</v>
      </c>
      <c r="AO30">
        <v>24</v>
      </c>
      <c r="AP30" t="s">
        <v>35</v>
      </c>
      <c r="AQ30" s="1"/>
    </row>
    <row r="31" spans="1:43">
      <c r="V31" s="1">
        <f t="shared" si="7"/>
        <v>2002</v>
      </c>
      <c r="W31" s="1">
        <f t="shared" ca="1" si="2"/>
        <v>301.29331588745123</v>
      </c>
      <c r="X31" s="1">
        <f t="shared" ca="1" si="3"/>
        <v>400.72011013031016</v>
      </c>
      <c r="Y31" s="1">
        <f t="shared" ca="1" si="4"/>
        <v>201.86652164459232</v>
      </c>
      <c r="Z31" s="1">
        <f t="shared" ca="1" si="5"/>
        <v>0</v>
      </c>
      <c r="AA31" t="b">
        <f t="shared" ca="1" si="8"/>
        <v>0</v>
      </c>
      <c r="AC31" s="1">
        <f t="shared" ca="1" si="1"/>
        <v>23621.998552207951</v>
      </c>
      <c r="AD31" s="1">
        <f t="shared" ca="1" si="6"/>
        <v>0</v>
      </c>
      <c r="AE31" s="1"/>
      <c r="AF31" s="1"/>
      <c r="AG31" s="1"/>
      <c r="AH31" s="1"/>
      <c r="AI31" s="1"/>
      <c r="AJ31">
        <v>31</v>
      </c>
      <c r="AK31">
        <f t="shared" si="0"/>
        <v>35</v>
      </c>
      <c r="AL31">
        <f ca="1">SUMIF('Consolidated tables'!B:B,'Strumpshaw example'!$T$10,INDIRECT("'Consolidated tables'!"&amp;VLOOKUP(AJ31,AO:AP,2,FALSE)&amp;":"&amp;VLOOKUP(AJ31,AO:AP,2,FALSE)))</f>
        <v>8.1199836730957195E-2</v>
      </c>
      <c r="AM31" s="1">
        <f ca="1">SUMIF('Consolidated tables'!B:B,'Strumpshaw example'!$T$14,INDIRECT("'Consolidated tables'!"&amp;VLOOKUP(AJ31,AO:AP,2,FALSE)&amp;":"&amp;VLOOKUP(AJ31,AO:AP,2,FALSE)))</f>
        <v>6.3662295993805058</v>
      </c>
      <c r="AN31" s="1">
        <f ca="1">SUMIF('Consolidated tables'!B:B,'Strumpshaw example'!$T$15,INDIRECT("'Consolidated tables'!"&amp;VLOOKUP(AJ31,AO:AP,2,FALSE)&amp;":"&amp;VLOOKUP(AJ31,AO:AP,2,FALSE)))</f>
        <v>0</v>
      </c>
      <c r="AO31">
        <v>25</v>
      </c>
      <c r="AP31" t="s">
        <v>36</v>
      </c>
      <c r="AQ31" s="1"/>
    </row>
    <row r="32" spans="1:43">
      <c r="V32" s="1">
        <f t="shared" si="7"/>
        <v>2003</v>
      </c>
      <c r="W32" s="1">
        <f t="shared" ca="1" si="2"/>
        <v>277.13743209838879</v>
      </c>
      <c r="X32" s="1">
        <f t="shared" ca="1" si="3"/>
        <v>368.59278469085712</v>
      </c>
      <c r="Y32" s="1">
        <f t="shared" ca="1" si="4"/>
        <v>185.68207950592048</v>
      </c>
      <c r="Z32" s="1">
        <f t="shared" ca="1" si="5"/>
        <v>0</v>
      </c>
      <c r="AA32" t="b">
        <f t="shared" ca="1" si="8"/>
        <v>0</v>
      </c>
      <c r="AC32" s="1">
        <f t="shared" ca="1" si="1"/>
        <v>21728.128951377883</v>
      </c>
      <c r="AD32" s="1">
        <f t="shared" ca="1" si="6"/>
        <v>0</v>
      </c>
      <c r="AE32" s="1"/>
      <c r="AF32" s="1"/>
      <c r="AG32" s="1"/>
      <c r="AH32" s="1"/>
      <c r="AI32" s="1"/>
      <c r="AJ32">
        <v>32</v>
      </c>
      <c r="AK32">
        <f t="shared" si="0"/>
        <v>35</v>
      </c>
      <c r="AL32">
        <f ca="1">SUMIF('Consolidated tables'!B:B,'Strumpshaw example'!$T$10,INDIRECT("'Consolidated tables'!"&amp;VLOOKUP(AJ32,AO:AP,2,FALSE)&amp;":"&amp;VLOOKUP(AJ32,AO:AP,2,FALSE)))</f>
        <v>7.4928774833679199E-2</v>
      </c>
      <c r="AM32" s="1">
        <f ca="1">SUMIF('Consolidated tables'!B:B,'Strumpshaw example'!$T$14,INDIRECT("'Consolidated tables'!"&amp;VLOOKUP(AJ32,AO:AP,2,FALSE)&amp;":"&amp;VLOOKUP(AJ32,AO:AP,2,FALSE)))</f>
        <v>5.8745658045101168</v>
      </c>
      <c r="AN32" s="1">
        <f ca="1">SUMIF('Consolidated tables'!B:B,'Strumpshaw example'!$T$15,INDIRECT("'Consolidated tables'!"&amp;VLOOKUP(AJ32,AO:AP,2,FALSE)&amp;":"&amp;VLOOKUP(AJ32,AO:AP,2,FALSE)))</f>
        <v>0</v>
      </c>
      <c r="AO32">
        <v>26</v>
      </c>
      <c r="AP32" t="s">
        <v>37</v>
      </c>
      <c r="AQ32" s="1"/>
    </row>
    <row r="33" spans="1:43">
      <c r="V33" s="1">
        <f t="shared" si="7"/>
        <v>2004</v>
      </c>
      <c r="W33" s="1">
        <f t="shared" ca="1" si="2"/>
        <v>254.9816131591796</v>
      </c>
      <c r="X33" s="1">
        <f t="shared" ca="1" si="3"/>
        <v>339.12554550170887</v>
      </c>
      <c r="Y33" s="1">
        <f t="shared" ca="1" si="4"/>
        <v>170.83768081665033</v>
      </c>
      <c r="Z33" s="1">
        <f t="shared" ca="1" si="5"/>
        <v>0</v>
      </c>
      <c r="AA33" t="b">
        <f t="shared" ca="1" si="8"/>
        <v>0</v>
      </c>
      <c r="AC33" s="1">
        <f t="shared" ca="1" si="1"/>
        <v>19991.068434906003</v>
      </c>
      <c r="AD33" s="1">
        <f t="shared" ca="1" si="6"/>
        <v>0</v>
      </c>
      <c r="AE33" s="1"/>
      <c r="AF33" s="1"/>
      <c r="AG33" s="1"/>
      <c r="AH33" s="1"/>
      <c r="AI33" s="1"/>
      <c r="AJ33">
        <v>33</v>
      </c>
      <c r="AK33">
        <f t="shared" si="0"/>
        <v>35</v>
      </c>
      <c r="AL33">
        <f ca="1">SUMIF('Consolidated tables'!B:B,'Strumpshaw example'!$T$10,INDIRECT("'Consolidated tables'!"&amp;VLOOKUP(AJ33,AO:AP,2,FALSE)&amp;":"&amp;VLOOKUP(AJ33,AO:AP,2,FALSE)))</f>
        <v>6.9152641296386805E-2</v>
      </c>
      <c r="AM33" s="1">
        <f ca="1">SUMIF('Consolidated tables'!B:B,'Strumpshaw example'!$T$14,INDIRECT("'Consolidated tables'!"&amp;VLOOKUP(AJ33,AO:AP,2,FALSE)&amp;":"&amp;VLOOKUP(AJ33,AO:AP,2,FALSE)))</f>
        <v>5.4217053829193178</v>
      </c>
      <c r="AN33" s="1">
        <f ca="1">SUMIF('Consolidated tables'!B:B,'Strumpshaw example'!$T$15,INDIRECT("'Consolidated tables'!"&amp;VLOOKUP(AJ33,AO:AP,2,FALSE)&amp;":"&amp;VLOOKUP(AJ33,AO:AP,2,FALSE)))</f>
        <v>0</v>
      </c>
      <c r="AO33">
        <v>27</v>
      </c>
      <c r="AP33" t="s">
        <v>38</v>
      </c>
      <c r="AQ33" s="1"/>
    </row>
    <row r="34" spans="1:43">
      <c r="V34" s="1">
        <f t="shared" si="7"/>
        <v>2005</v>
      </c>
      <c r="W34" s="1">
        <f t="shared" ca="1" si="2"/>
        <v>234.6532440185548</v>
      </c>
      <c r="X34" s="1">
        <f t="shared" ca="1" si="3"/>
        <v>312.08881454467792</v>
      </c>
      <c r="Y34" s="1">
        <f t="shared" ca="1" si="4"/>
        <v>157.21767349243171</v>
      </c>
      <c r="Z34" s="1">
        <f t="shared" ca="1" si="5"/>
        <v>0</v>
      </c>
      <c r="AA34" t="b">
        <f t="shared" ca="1" si="8"/>
        <v>0</v>
      </c>
      <c r="AC34" s="1">
        <f t="shared" ca="1" si="1"/>
        <v>18397.283637542736</v>
      </c>
      <c r="AD34" s="1">
        <f t="shared" ca="1" si="6"/>
        <v>0</v>
      </c>
      <c r="AE34" s="1"/>
      <c r="AF34" s="1"/>
      <c r="AG34" s="1"/>
      <c r="AH34" s="1"/>
      <c r="AI34" s="1"/>
      <c r="AJ34">
        <v>34</v>
      </c>
      <c r="AK34">
        <f t="shared" si="0"/>
        <v>35</v>
      </c>
      <c r="AL34">
        <f ca="1">SUMIF('Consolidated tables'!B:B,'Strumpshaw example'!$T$10,INDIRECT("'Consolidated tables'!"&amp;VLOOKUP(AJ34,AO:AP,2,FALSE)&amp;":"&amp;VLOOKUP(AJ34,AO:AP,2,FALSE)))</f>
        <v>6.3831267356872404E-2</v>
      </c>
      <c r="AM34" s="1">
        <f ca="1">SUMIF('Consolidated tables'!B:B,'Strumpshaw example'!$T$14,INDIRECT("'Consolidated tables'!"&amp;VLOOKUP(AJ34,AO:AP,2,FALSE)&amp;":"&amp;VLOOKUP(AJ34,AO:AP,2,FALSE)))</f>
        <v>5.0044990233135103</v>
      </c>
      <c r="AN34" s="1">
        <f ca="1">SUMIF('Consolidated tables'!B:B,'Strumpshaw example'!$T$15,INDIRECT("'Consolidated tables'!"&amp;VLOOKUP(AJ34,AO:AP,2,FALSE)&amp;":"&amp;VLOOKUP(AJ34,AO:AP,2,FALSE)))</f>
        <v>0</v>
      </c>
      <c r="AO34">
        <v>28</v>
      </c>
      <c r="AP34" t="s">
        <v>39</v>
      </c>
      <c r="AQ34" s="1"/>
    </row>
    <row r="35" spans="1:43">
      <c r="V35" s="1">
        <f t="shared" si="7"/>
        <v>2006</v>
      </c>
      <c r="W35" s="1">
        <f t="shared" ca="1" si="2"/>
        <v>215.99567413330081</v>
      </c>
      <c r="X35" s="1">
        <f t="shared" ca="1" si="3"/>
        <v>287.27424659729007</v>
      </c>
      <c r="Y35" s="1">
        <f t="shared" ca="1" si="4"/>
        <v>144.71710166931155</v>
      </c>
      <c r="Z35" s="1">
        <f t="shared" ca="1" si="5"/>
        <v>0</v>
      </c>
      <c r="AA35" t="b">
        <f t="shared" ca="1" si="8"/>
        <v>0</v>
      </c>
      <c r="AC35" s="1">
        <f t="shared" ca="1" si="1"/>
        <v>16934.49284339905</v>
      </c>
      <c r="AD35" s="1">
        <f t="shared" ca="1" si="6"/>
        <v>0</v>
      </c>
      <c r="AE35" s="1"/>
      <c r="AF35" s="1"/>
      <c r="AG35" s="1"/>
      <c r="AH35" s="1"/>
      <c r="AI35" s="1"/>
      <c r="AJ35">
        <v>35</v>
      </c>
      <c r="AK35">
        <f t="shared" si="0"/>
        <v>35</v>
      </c>
      <c r="AL35">
        <f ca="1">SUMIF('Consolidated tables'!B:B,'Strumpshaw example'!$T$10,INDIRECT("'Consolidated tables'!"&amp;VLOOKUP(AJ35,AO:AP,2,FALSE)&amp;":"&amp;VLOOKUP(AJ35,AO:AP,2,FALSE)))</f>
        <v>5.8927869796752796E-2</v>
      </c>
      <c r="AM35" s="1">
        <f ca="1">SUMIF('Consolidated tables'!B:B,'Strumpshaw example'!$T$14,INDIRECT("'Consolidated tables'!"&amp;VLOOKUP(AJ35,AO:AP,2,FALSE)&amp;":"&amp;VLOOKUP(AJ35,AO:AP,2,FALSE)))</f>
        <v>4.6200628478050119</v>
      </c>
      <c r="AN35" s="1">
        <f ca="1">SUMIF('Consolidated tables'!B:B,'Strumpshaw example'!$T$15,INDIRECT("'Consolidated tables'!"&amp;VLOOKUP(AJ35,AO:AP,2,FALSE)&amp;":"&amp;VLOOKUP(AJ35,AO:AP,2,FALSE)))</f>
        <v>0</v>
      </c>
      <c r="AO35">
        <v>29</v>
      </c>
      <c r="AP35" t="s">
        <v>40</v>
      </c>
      <c r="AQ35" s="1"/>
    </row>
    <row r="36" spans="1:43">
      <c r="V36" s="1">
        <f t="shared" si="7"/>
        <v>2007</v>
      </c>
      <c r="W36" s="1">
        <f t="shared" ca="1" si="2"/>
        <v>198.86632919311521</v>
      </c>
      <c r="X36" s="1">
        <f t="shared" ca="1" si="3"/>
        <v>264.49221782684322</v>
      </c>
      <c r="Y36" s="1">
        <f t="shared" ca="1" si="4"/>
        <v>133.2404405593872</v>
      </c>
      <c r="Z36" s="1">
        <f t="shared" ca="1" si="5"/>
        <v>0</v>
      </c>
      <c r="AA36" t="b">
        <f t="shared" ca="1" si="8"/>
        <v>0</v>
      </c>
      <c r="AC36" s="1">
        <f t="shared" ca="1" si="1"/>
        <v>15591.517941398619</v>
      </c>
      <c r="AD36" s="1">
        <f t="shared" ca="1" si="6"/>
        <v>0</v>
      </c>
      <c r="AE36" s="1"/>
      <c r="AF36" s="1"/>
      <c r="AG36" s="1"/>
      <c r="AH36" s="1"/>
      <c r="AI36" s="1"/>
      <c r="AJ36">
        <v>36</v>
      </c>
      <c r="AK36">
        <f t="shared" si="0"/>
        <v>40</v>
      </c>
      <c r="AL36">
        <f ca="1">SUMIF('Consolidated tables'!B:B,'Strumpshaw example'!$T$10,INDIRECT("'Consolidated tables'!"&amp;VLOOKUP(AJ36,AO:AP,2,FALSE)&amp;":"&amp;VLOOKUP(AJ36,AO:AP,2,FALSE)))</f>
        <v>5.4408726692199601E-2</v>
      </c>
      <c r="AM36" s="1">
        <f ca="1">SUMIF('Consolidated tables'!B:B,'Strumpshaw example'!$T$14,INDIRECT("'Consolidated tables'!"&amp;VLOOKUP(AJ36,AO:AP,2,FALSE)&amp;":"&amp;VLOOKUP(AJ36,AO:AP,2,FALSE)))</f>
        <v>4.2657529901218325</v>
      </c>
      <c r="AN36" s="1">
        <f ca="1">SUMIF('Consolidated tables'!B:B,'Strumpshaw example'!$T$15,INDIRECT("'Consolidated tables'!"&amp;VLOOKUP(AJ36,AO:AP,2,FALSE)&amp;":"&amp;VLOOKUP(AJ36,AO:AP,2,FALSE)))</f>
        <v>0</v>
      </c>
      <c r="AO36">
        <v>30</v>
      </c>
      <c r="AP36" t="s">
        <v>41</v>
      </c>
      <c r="AQ36" s="1"/>
    </row>
    <row r="37" spans="1:43" ht="24.95" customHeight="1">
      <c r="A37" s="32" t="s">
        <v>92</v>
      </c>
      <c r="D37" s="1"/>
      <c r="V37" s="1">
        <f t="shared" si="7"/>
        <v>2008</v>
      </c>
      <c r="W37" s="1">
        <f t="shared" ca="1" si="2"/>
        <v>183.135471343994</v>
      </c>
      <c r="X37" s="1">
        <f t="shared" ca="1" si="3"/>
        <v>243.57017688751202</v>
      </c>
      <c r="Y37" s="1">
        <f t="shared" ca="1" si="4"/>
        <v>122.70076580047599</v>
      </c>
      <c r="Z37" s="1">
        <f t="shared" ca="1" si="5"/>
        <v>0</v>
      </c>
      <c r="AA37" t="b">
        <f t="shared" ca="1" si="8"/>
        <v>0</v>
      </c>
      <c r="AC37" s="1">
        <f t="shared" ca="1" si="1"/>
        <v>14358.18722431182</v>
      </c>
      <c r="AD37" s="1">
        <f t="shared" ca="1" si="6"/>
        <v>0</v>
      </c>
      <c r="AE37" s="1"/>
      <c r="AF37" s="1"/>
      <c r="AG37" s="1"/>
      <c r="AH37" s="1"/>
      <c r="AI37" s="1"/>
      <c r="AJ37">
        <v>37</v>
      </c>
      <c r="AK37">
        <f t="shared" si="0"/>
        <v>40</v>
      </c>
      <c r="AL37">
        <f ca="1">SUMIF('Consolidated tables'!B:B,'Strumpshaw example'!$T$10,INDIRECT("'Consolidated tables'!"&amp;VLOOKUP(AJ37,AO:AP,2,FALSE)&amp;":"&amp;VLOOKUP(AJ37,AO:AP,2,FALSE)))</f>
        <v>5.0242938995361204E-2</v>
      </c>
      <c r="AM37" s="1">
        <f ca="1">SUMIF('Consolidated tables'!B:B,'Strumpshaw example'!$T$14,INDIRECT("'Consolidated tables'!"&amp;VLOOKUP(AJ37,AO:AP,2,FALSE)&amp;":"&amp;VLOOKUP(AJ37,AO:AP,2,FALSE)))</f>
        <v>3.9391469031143087</v>
      </c>
      <c r="AN37" s="1">
        <f ca="1">SUMIF('Consolidated tables'!B:B,'Strumpshaw example'!$T$15,INDIRECT("'Consolidated tables'!"&amp;VLOOKUP(AJ37,AO:AP,2,FALSE)&amp;":"&amp;VLOOKUP(AJ37,AO:AP,2,FALSE)))</f>
        <v>0</v>
      </c>
      <c r="AO37">
        <v>31</v>
      </c>
      <c r="AP37" t="s">
        <v>42</v>
      </c>
      <c r="AQ37" s="1"/>
    </row>
    <row r="38" spans="1:43" ht="24.95" customHeight="1" thickBot="1">
      <c r="D38" s="11"/>
      <c r="V38" s="1">
        <f t="shared" si="7"/>
        <v>2009</v>
      </c>
      <c r="W38" s="1">
        <f t="shared" ca="1" si="2"/>
        <v>168.6848258972168</v>
      </c>
      <c r="X38" s="1">
        <f t="shared" ca="1" si="3"/>
        <v>224.35081844329835</v>
      </c>
      <c r="Y38" s="1">
        <f t="shared" ca="1" si="4"/>
        <v>113.01883335113526</v>
      </c>
      <c r="Z38" s="1">
        <f t="shared" ca="1" si="5"/>
        <v>0</v>
      </c>
      <c r="AA38" t="b">
        <f t="shared" ca="1" si="8"/>
        <v>0</v>
      </c>
      <c r="AC38" s="1">
        <f t="shared" ca="1" si="1"/>
        <v>13225.227719993591</v>
      </c>
      <c r="AD38" s="1">
        <f t="shared" ca="1" si="6"/>
        <v>0</v>
      </c>
      <c r="AE38" s="1"/>
      <c r="AF38" s="1"/>
      <c r="AG38" s="1"/>
      <c r="AH38" s="1"/>
      <c r="AI38" s="1"/>
      <c r="AJ38">
        <v>38</v>
      </c>
      <c r="AK38">
        <f t="shared" si="0"/>
        <v>40</v>
      </c>
      <c r="AL38">
        <f ca="1">SUMIF('Consolidated tables'!B:B,'Strumpshaw example'!$T$10,INDIRECT("'Consolidated tables'!"&amp;VLOOKUP(AJ38,AO:AP,2,FALSE)&amp;":"&amp;VLOOKUP(AJ38,AO:AP,2,FALSE)))</f>
        <v>4.6402163505554005E-2</v>
      </c>
      <c r="AM38" s="1">
        <f ca="1">SUMIF('Consolidated tables'!B:B,'Strumpshaw example'!$T$14,INDIRECT("'Consolidated tables'!"&amp;VLOOKUP(AJ38,AO:AP,2,FALSE)&amp;":"&amp;VLOOKUP(AJ38,AO:AP,2,FALSE)))</f>
        <v>3.638022423162445</v>
      </c>
      <c r="AN38" s="1">
        <f ca="1">SUMIF('Consolidated tables'!B:B,'Strumpshaw example'!$T$15,INDIRECT("'Consolidated tables'!"&amp;VLOOKUP(AJ38,AO:AP,2,FALSE)&amp;":"&amp;VLOOKUP(AJ38,AO:AP,2,FALSE)))</f>
        <v>0</v>
      </c>
      <c r="AO38">
        <v>32</v>
      </c>
      <c r="AP38" t="s">
        <v>43</v>
      </c>
      <c r="AQ38" s="1"/>
    </row>
    <row r="39" spans="1:43" ht="24.95" customHeight="1" thickBot="1">
      <c r="A39" s="37" t="s">
        <v>100</v>
      </c>
      <c r="B39" s="71" t="s">
        <v>5</v>
      </c>
      <c r="C39" s="36"/>
      <c r="D39" s="72">
        <f>D6-D4</f>
        <v>16</v>
      </c>
      <c r="E39" s="36" t="s">
        <v>69</v>
      </c>
      <c r="H39" s="2"/>
      <c r="I39" s="2"/>
      <c r="J39" s="2"/>
      <c r="K39" s="2"/>
      <c r="L39" s="2"/>
      <c r="M39" s="2"/>
      <c r="N39" s="2"/>
      <c r="O39" s="2"/>
      <c r="P39" s="2"/>
      <c r="V39" s="1">
        <f t="shared" si="7"/>
        <v>2010</v>
      </c>
      <c r="W39" s="1">
        <f t="shared" ca="1" si="2"/>
        <v>155.40654182434079</v>
      </c>
      <c r="X39" s="1">
        <f t="shared" ca="1" si="3"/>
        <v>206.69070062637326</v>
      </c>
      <c r="Y39" s="1">
        <f t="shared" ca="1" si="4"/>
        <v>104.12238302230834</v>
      </c>
      <c r="Z39" s="1">
        <f t="shared" ca="1" si="5"/>
        <v>0</v>
      </c>
      <c r="AA39" t="b">
        <f t="shared" ca="1" si="8"/>
        <v>0</v>
      </c>
      <c r="AC39" s="1">
        <f t="shared" ca="1" si="1"/>
        <v>12184.183692111968</v>
      </c>
      <c r="AD39" s="1">
        <f t="shared" ca="1" si="6"/>
        <v>0</v>
      </c>
      <c r="AE39" s="1"/>
      <c r="AF39" s="1"/>
      <c r="AG39" s="1"/>
      <c r="AH39" s="1"/>
      <c r="AI39" s="1"/>
      <c r="AJ39">
        <v>39</v>
      </c>
      <c r="AK39">
        <f t="shared" si="0"/>
        <v>40</v>
      </c>
      <c r="AL39">
        <f ca="1">SUMIF('Consolidated tables'!B:B,'Strumpshaw example'!$T$10,INDIRECT("'Consolidated tables'!"&amp;VLOOKUP(AJ39,AO:AP,2,FALSE)&amp;":"&amp;VLOOKUP(AJ39,AO:AP,2,FALSE)))</f>
        <v>4.2860412597656404E-2</v>
      </c>
      <c r="AM39" s="1">
        <f ca="1">SUMIF('Consolidated tables'!B:B,'Strumpshaw example'!$T$14,INDIRECT("'Consolidated tables'!"&amp;VLOOKUP(AJ39,AO:AP,2,FALSE)&amp;":"&amp;VLOOKUP(AJ39,AO:AP,2,FALSE)))</f>
        <v>3.3603420684814567</v>
      </c>
      <c r="AN39" s="1">
        <f ca="1">SUMIF('Consolidated tables'!B:B,'Strumpshaw example'!$T$15,INDIRECT("'Consolidated tables'!"&amp;VLOOKUP(AJ39,AO:AP,2,FALSE)&amp;":"&amp;VLOOKUP(AJ39,AO:AP,2,FALSE)))</f>
        <v>0</v>
      </c>
      <c r="AO39">
        <v>33</v>
      </c>
      <c r="AP39" t="s">
        <v>44</v>
      </c>
      <c r="AQ39" s="1"/>
    </row>
    <row r="40" spans="1:43" ht="24.95" customHeight="1" thickBot="1">
      <c r="A40" s="36"/>
      <c r="B40" s="36"/>
      <c r="C40" s="36"/>
      <c r="D40" s="35"/>
      <c r="E40" s="36"/>
      <c r="H40" s="2"/>
      <c r="I40" s="2"/>
      <c r="J40" s="2"/>
      <c r="K40" s="2"/>
      <c r="L40" s="2"/>
      <c r="M40" s="2"/>
      <c r="N40" s="2"/>
      <c r="O40" s="2"/>
      <c r="P40" s="2"/>
      <c r="V40" s="1">
        <f t="shared" si="7"/>
        <v>2011</v>
      </c>
      <c r="W40" s="1">
        <f t="shared" ca="1" si="2"/>
        <v>143.20224761962879</v>
      </c>
      <c r="X40" s="1">
        <f t="shared" ca="1" si="3"/>
        <v>190.45898933410629</v>
      </c>
      <c r="Y40" s="1">
        <f t="shared" ca="1" si="4"/>
        <v>95.945505905151293</v>
      </c>
      <c r="Z40" s="1">
        <f t="shared" ca="1" si="5"/>
        <v>0</v>
      </c>
      <c r="AA40" t="b">
        <f t="shared" ca="1" si="8"/>
        <v>0</v>
      </c>
      <c r="AC40" s="1">
        <f t="shared" ca="1" si="1"/>
        <v>11227.342617874136</v>
      </c>
      <c r="AD40" s="1">
        <f t="shared" ca="1" si="6"/>
        <v>0</v>
      </c>
      <c r="AE40" s="1"/>
      <c r="AF40" s="1"/>
      <c r="AG40" s="1"/>
      <c r="AH40" s="1"/>
      <c r="AI40" s="1"/>
      <c r="AJ40">
        <v>40</v>
      </c>
      <c r="AK40">
        <f t="shared" si="0"/>
        <v>40</v>
      </c>
      <c r="AL40">
        <f ca="1">SUMIF('Consolidated tables'!B:B,'Strumpshaw example'!$T$10,INDIRECT("'Consolidated tables'!"&amp;VLOOKUP(AJ40,AO:AP,2,FALSE)&amp;":"&amp;VLOOKUP(AJ40,AO:AP,2,FALSE)))</f>
        <v>3.9593837261199957E-2</v>
      </c>
      <c r="AM40" s="1">
        <f ca="1">SUMIF('Consolidated tables'!B:B,'Strumpshaw example'!$T$14,INDIRECT("'Consolidated tables'!"&amp;VLOOKUP(AJ40,AO:AP,2,FALSE)&amp;":"&amp;VLOOKUP(AJ40,AO:AP,2,FALSE)))</f>
        <v>3.1042360289525992</v>
      </c>
      <c r="AN40" s="1">
        <f ca="1">SUMIF('Consolidated tables'!B:B,'Strumpshaw example'!$T$15,INDIRECT("'Consolidated tables'!"&amp;VLOOKUP(AJ40,AO:AP,2,FALSE)&amp;":"&amp;VLOOKUP(AJ40,AO:AP,2,FALSE)))</f>
        <v>0</v>
      </c>
      <c r="AO40">
        <v>34</v>
      </c>
      <c r="AP40" t="s">
        <v>45</v>
      </c>
      <c r="AQ40" s="1"/>
    </row>
    <row r="41" spans="1:43" ht="24.95" customHeight="1" thickBot="1">
      <c r="A41" s="37" t="s">
        <v>101</v>
      </c>
      <c r="B41" s="71" t="s">
        <v>73</v>
      </c>
      <c r="C41" s="36"/>
      <c r="D41" s="72">
        <f ca="1">VLOOKUP(D2,V:W,2,FALSE)</f>
        <v>103.4417533874512</v>
      </c>
      <c r="E41" s="36" t="s">
        <v>105</v>
      </c>
      <c r="F41" s="52"/>
      <c r="G41" s="50"/>
      <c r="H41" s="51"/>
      <c r="I41" s="13"/>
      <c r="J41" s="13"/>
      <c r="K41" s="13"/>
      <c r="L41" s="13"/>
      <c r="M41" s="13"/>
      <c r="N41" s="13"/>
      <c r="O41" s="13"/>
      <c r="P41" s="13"/>
      <c r="V41" s="1">
        <f t="shared" si="7"/>
        <v>2012</v>
      </c>
      <c r="W41" s="1">
        <f t="shared" ca="1" si="2"/>
        <v>131.98213577270519</v>
      </c>
      <c r="X41" s="1">
        <f t="shared" ca="1" si="3"/>
        <v>175.53624057769792</v>
      </c>
      <c r="Y41" s="1">
        <f t="shared" ca="1" si="4"/>
        <v>88.428030967712488</v>
      </c>
      <c r="Z41" s="1">
        <f t="shared" ca="1" si="5"/>
        <v>0</v>
      </c>
      <c r="AA41" t="b">
        <f t="shared" ca="1" si="8"/>
        <v>0</v>
      </c>
      <c r="AC41" s="1">
        <f t="shared" ca="1" si="1"/>
        <v>10347.663408851633</v>
      </c>
      <c r="AD41" s="1">
        <f t="shared" ca="1" si="6"/>
        <v>0</v>
      </c>
      <c r="AE41" s="1"/>
      <c r="AF41" s="1"/>
      <c r="AG41" s="1"/>
      <c r="AH41" s="1"/>
      <c r="AI41" s="1"/>
      <c r="AJ41">
        <v>41</v>
      </c>
      <c r="AK41">
        <f t="shared" si="0"/>
        <v>45</v>
      </c>
      <c r="AL41">
        <f ca="1">SUMIF('Consolidated tables'!B:B,'Strumpshaw example'!$T$10,INDIRECT("'Consolidated tables'!"&amp;VLOOKUP(AJ41,AO:AP,2,FALSE)&amp;":"&amp;VLOOKUP(AJ41,AO:AP,2,FALSE)))</f>
        <v>3.6580548286438003E-2</v>
      </c>
      <c r="AM41" s="1">
        <f ca="1">SUMIF('Consolidated tables'!B:B,'Strumpshaw example'!$T$14,INDIRECT("'Consolidated tables'!"&amp;VLOOKUP(AJ41,AO:AP,2,FALSE)&amp;":"&amp;VLOOKUP(AJ41,AO:AP,2,FALSE)))</f>
        <v>2.8679881467533122</v>
      </c>
      <c r="AN41" s="1">
        <f ca="1">SUMIF('Consolidated tables'!B:B,'Strumpshaw example'!$T$15,INDIRECT("'Consolidated tables'!"&amp;VLOOKUP(AJ41,AO:AP,2,FALSE)&amp;":"&amp;VLOOKUP(AJ41,AO:AP,2,FALSE)))</f>
        <v>0</v>
      </c>
      <c r="AO41">
        <v>35</v>
      </c>
      <c r="AP41" t="s">
        <v>46</v>
      </c>
      <c r="AQ41" s="1"/>
    </row>
    <row r="42" spans="1:43" s="20" customFormat="1" ht="24.95" customHeight="1">
      <c r="A42" s="45"/>
      <c r="B42" s="46"/>
      <c r="D42" s="47"/>
      <c r="F42" s="48"/>
      <c r="H42" s="49"/>
      <c r="I42" s="49"/>
      <c r="J42" s="49"/>
      <c r="K42" s="49"/>
      <c r="L42" s="49"/>
      <c r="M42" s="49"/>
      <c r="N42" s="49"/>
      <c r="O42" s="49"/>
      <c r="P42" s="49"/>
      <c r="V42" s="1">
        <f t="shared" si="7"/>
        <v>2013</v>
      </c>
      <c r="W42" s="1">
        <f t="shared" ca="1" si="2"/>
        <v>121.6642093658448</v>
      </c>
      <c r="X42" s="1">
        <f t="shared" ca="1" si="3"/>
        <v>161.81339845657359</v>
      </c>
      <c r="Y42" s="1">
        <f t="shared" ca="1" si="4"/>
        <v>81.515020275116015</v>
      </c>
      <c r="Z42" s="1">
        <f t="shared" ca="1" si="5"/>
        <v>0</v>
      </c>
      <c r="AA42" t="b">
        <f t="shared" ca="1" si="8"/>
        <v>0</v>
      </c>
      <c r="AB42"/>
      <c r="AC42" s="1">
        <f t="shared" ca="1" si="1"/>
        <v>9538.7173427009639</v>
      </c>
      <c r="AD42" s="1">
        <f t="shared" ca="1" si="6"/>
        <v>0</v>
      </c>
      <c r="AE42" s="1"/>
      <c r="AF42" s="1"/>
      <c r="AG42" s="1"/>
      <c r="AH42" s="1"/>
      <c r="AI42" s="1"/>
      <c r="AJ42">
        <v>42</v>
      </c>
      <c r="AK42">
        <f t="shared" si="0"/>
        <v>45</v>
      </c>
      <c r="AL42">
        <f ca="1">SUMIF('Consolidated tables'!B:B,'Strumpshaw example'!$T$10,INDIRECT("'Consolidated tables'!"&amp;VLOOKUP(AJ42,AO:AP,2,FALSE)&amp;":"&amp;VLOOKUP(AJ42,AO:AP,2,FALSE)))</f>
        <v>3.380044937133788E-2</v>
      </c>
      <c r="AM42" s="1">
        <f ca="1">SUMIF('Consolidated tables'!B:B,'Strumpshaw example'!$T$14,INDIRECT("'Consolidated tables'!"&amp;VLOOKUP(AJ42,AO:AP,2,FALSE)&amp;":"&amp;VLOOKUP(AJ42,AO:AP,2,FALSE)))</f>
        <v>2.6500228316116323</v>
      </c>
      <c r="AN42" s="1">
        <f ca="1">SUMIF('Consolidated tables'!B:B,'Strumpshaw example'!$T$15,INDIRECT("'Consolidated tables'!"&amp;VLOOKUP(AJ42,AO:AP,2,FALSE)&amp;":"&amp;VLOOKUP(AJ42,AO:AP,2,FALSE)))</f>
        <v>0</v>
      </c>
      <c r="AO42">
        <v>36</v>
      </c>
      <c r="AP42" t="s">
        <v>47</v>
      </c>
      <c r="AQ42" s="12"/>
    </row>
    <row r="43" spans="1:43" s="20" customFormat="1" ht="24.95" customHeight="1">
      <c r="A43" s="32" t="s">
        <v>93</v>
      </c>
      <c r="B43" s="14"/>
      <c r="C43"/>
      <c r="D43" s="14"/>
      <c r="E43" s="14"/>
      <c r="F43" s="14"/>
      <c r="G43"/>
      <c r="H43" s="13"/>
      <c r="I43" s="49"/>
      <c r="J43" s="49"/>
      <c r="K43" s="49"/>
      <c r="L43" s="49"/>
      <c r="M43" s="49"/>
      <c r="N43" s="49"/>
      <c r="O43" s="49"/>
      <c r="P43" s="49"/>
      <c r="V43" s="1">
        <f t="shared" si="7"/>
        <v>2014</v>
      </c>
      <c r="W43" s="1">
        <f t="shared" ca="1" si="2"/>
        <v>112.17356681823721</v>
      </c>
      <c r="X43" s="1">
        <f t="shared" ca="1" si="3"/>
        <v>149.19084386825548</v>
      </c>
      <c r="Y43" s="1">
        <f t="shared" ca="1" si="4"/>
        <v>75.156289768218926</v>
      </c>
      <c r="Z43" s="1">
        <f t="shared" ca="1" si="5"/>
        <v>0</v>
      </c>
      <c r="AA43" t="b">
        <f t="shared" ca="1" si="8"/>
        <v>0</v>
      </c>
      <c r="AB43"/>
      <c r="AC43" s="1">
        <f t="shared" ca="1" si="1"/>
        <v>8794.6319856834343</v>
      </c>
      <c r="AD43" s="1">
        <f t="shared" ca="1" si="6"/>
        <v>0</v>
      </c>
      <c r="AE43" s="1"/>
      <c r="AF43" s="1"/>
      <c r="AG43" s="1"/>
      <c r="AH43" s="1"/>
      <c r="AI43" s="1"/>
      <c r="AJ43">
        <v>43</v>
      </c>
      <c r="AK43">
        <f t="shared" si="0"/>
        <v>45</v>
      </c>
      <c r="AL43">
        <f ca="1">SUMIF('Consolidated tables'!B:B,'Strumpshaw example'!$T$10,INDIRECT("'Consolidated tables'!"&amp;VLOOKUP(AJ43,AO:AP,2,FALSE)&amp;":"&amp;VLOOKUP(AJ43,AO:AP,2,FALSE)))</f>
        <v>3.1235089302063E-2</v>
      </c>
      <c r="AM43" s="1">
        <f ca="1">SUMIF('Consolidated tables'!B:B,'Strumpshaw example'!$T$14,INDIRECT("'Consolidated tables'!"&amp;VLOOKUP(AJ43,AO:AP,2,FALSE)&amp;":"&amp;VLOOKUP(AJ43,AO:AP,2,FALSE)))</f>
        <v>2.4488934714603428</v>
      </c>
      <c r="AN43" s="1">
        <f ca="1">SUMIF('Consolidated tables'!B:B,'Strumpshaw example'!$T$15,INDIRECT("'Consolidated tables'!"&amp;VLOOKUP(AJ43,AO:AP,2,FALSE)&amp;":"&amp;VLOOKUP(AJ43,AO:AP,2,FALSE)))</f>
        <v>0</v>
      </c>
      <c r="AO43">
        <v>37</v>
      </c>
      <c r="AP43" t="s">
        <v>48</v>
      </c>
      <c r="AQ43" s="12"/>
    </row>
    <row r="44" spans="1:43" ht="24.95" customHeight="1" thickBot="1">
      <c r="A44" s="38"/>
      <c r="D44" s="11"/>
      <c r="H44" s="2"/>
      <c r="I44" s="2"/>
      <c r="J44" s="2"/>
      <c r="K44" s="2"/>
      <c r="L44" s="2"/>
      <c r="M44" s="2"/>
      <c r="N44" s="2"/>
      <c r="O44" s="2"/>
      <c r="P44" s="2"/>
      <c r="V44" s="1">
        <f t="shared" si="7"/>
        <v>2015</v>
      </c>
      <c r="W44" s="1">
        <f t="shared" ca="1" si="2"/>
        <v>103.4417533874512</v>
      </c>
      <c r="X44" s="1">
        <f t="shared" ca="1" si="3"/>
        <v>137.5775320053101</v>
      </c>
      <c r="Y44" s="1">
        <f t="shared" ca="1" si="4"/>
        <v>69.305974769592311</v>
      </c>
      <c r="Z44" s="1">
        <f t="shared" ca="1" si="5"/>
        <v>1</v>
      </c>
      <c r="AA44" t="b">
        <f t="shared" ca="1" si="8"/>
        <v>1</v>
      </c>
      <c r="AC44" s="1">
        <f t="shared" ca="1" si="1"/>
        <v>8110.0403490829503</v>
      </c>
      <c r="AD44" s="1">
        <f t="shared" ca="1" si="6"/>
        <v>8110.0403490829503</v>
      </c>
      <c r="AE44" s="1"/>
      <c r="AF44" s="1"/>
      <c r="AG44" s="1"/>
      <c r="AH44" s="1"/>
      <c r="AI44" s="1"/>
      <c r="AJ44">
        <v>44</v>
      </c>
      <c r="AK44">
        <f t="shared" si="0"/>
        <v>45</v>
      </c>
      <c r="AL44">
        <f ca="1">SUMIF('Consolidated tables'!B:B,'Strumpshaw example'!$T$10,INDIRECT("'Consolidated tables'!"&amp;VLOOKUP(AJ44,AO:AP,2,FALSE)&amp;":"&amp;VLOOKUP(AJ44,AO:AP,2,FALSE)))</f>
        <v>2.886751890182496E-2</v>
      </c>
      <c r="AM44" s="1">
        <f ca="1">SUMIF('Consolidated tables'!B:B,'Strumpshaw example'!$T$14,INDIRECT("'Consolidated tables'!"&amp;VLOOKUP(AJ44,AO:AP,2,FALSE)&amp;":"&amp;VLOOKUP(AJ44,AO:AP,2,FALSE)))</f>
        <v>2.2632712169408804</v>
      </c>
      <c r="AN44" s="1">
        <f ca="1">SUMIF('Consolidated tables'!B:B,'Strumpshaw example'!$T$15,INDIRECT("'Consolidated tables'!"&amp;VLOOKUP(AJ44,AO:AP,2,FALSE)&amp;":"&amp;VLOOKUP(AJ44,AO:AP,2,FALSE)))</f>
        <v>0</v>
      </c>
      <c r="AO44">
        <v>38</v>
      </c>
      <c r="AP44" t="s">
        <v>49</v>
      </c>
      <c r="AQ44" s="1"/>
    </row>
    <row r="45" spans="1:43" ht="24.95" customHeight="1" thickBot="1">
      <c r="A45" s="37" t="s">
        <v>102</v>
      </c>
      <c r="B45" s="71" t="s">
        <v>106</v>
      </c>
      <c r="C45" s="36"/>
      <c r="D45" s="73">
        <f ca="1">VLOOKUP(D2,V$2:AI$1048576,8,FALSE)</f>
        <v>8110.0403490829503</v>
      </c>
      <c r="E45" s="36" t="s">
        <v>103</v>
      </c>
      <c r="H45" s="2"/>
      <c r="I45" s="2"/>
      <c r="J45" s="2"/>
      <c r="K45" s="2"/>
      <c r="L45" s="2"/>
      <c r="M45" s="2"/>
      <c r="N45" s="2"/>
      <c r="O45" s="2"/>
      <c r="P45" s="2"/>
      <c r="V45" s="1">
        <f t="shared" si="7"/>
        <v>2016</v>
      </c>
      <c r="W45" s="1">
        <f t="shared" ca="1" si="2"/>
        <v>95.406198501586815</v>
      </c>
      <c r="X45" s="1">
        <f t="shared" ca="1" si="3"/>
        <v>126.89024400711047</v>
      </c>
      <c r="Y45" s="1">
        <f t="shared" ca="1" si="4"/>
        <v>63.922152996063168</v>
      </c>
      <c r="Z45" s="1">
        <f t="shared" ca="1" si="5"/>
        <v>0</v>
      </c>
      <c r="AA45" t="b">
        <f t="shared" ca="1" si="8"/>
        <v>1</v>
      </c>
      <c r="AC45" s="1">
        <f t="shared" ca="1" si="1"/>
        <v>7480.0367749214092</v>
      </c>
      <c r="AD45" s="1">
        <f t="shared" ca="1" si="6"/>
        <v>7480.0367749214092</v>
      </c>
      <c r="AE45" s="1"/>
      <c r="AF45" s="1"/>
      <c r="AG45" s="1"/>
      <c r="AH45" s="1"/>
      <c r="AI45" s="1"/>
      <c r="AJ45">
        <v>45</v>
      </c>
      <c r="AK45">
        <f t="shared" si="0"/>
        <v>45</v>
      </c>
      <c r="AL45">
        <f ca="1">SUMIF('Consolidated tables'!B:B,'Strumpshaw example'!$T$10,INDIRECT("'Consolidated tables'!"&amp;VLOOKUP(AJ45,AO:AP,2,FALSE)&amp;":"&amp;VLOOKUP(AJ45,AO:AP,2,FALSE)))</f>
        <v>2.6682159900665279E-2</v>
      </c>
      <c r="AM45" s="1">
        <f ca="1">SUMIF('Consolidated tables'!B:B,'Strumpshaw example'!$T$14,INDIRECT("'Consolidated tables'!"&amp;VLOOKUP(AJ45,AO:AP,2,FALSE)&amp;":"&amp;VLOOKUP(AJ45,AO:AP,2,FALSE)))</f>
        <v>2.0919347005319593</v>
      </c>
      <c r="AN45" s="1">
        <f ca="1">SUMIF('Consolidated tables'!B:B,'Strumpshaw example'!$T$15,INDIRECT("'Consolidated tables'!"&amp;VLOOKUP(AJ45,AO:AP,2,FALSE)&amp;":"&amp;VLOOKUP(AJ45,AO:AP,2,FALSE)))</f>
        <v>0</v>
      </c>
      <c r="AO45">
        <v>39</v>
      </c>
      <c r="AP45" t="s">
        <v>50</v>
      </c>
      <c r="AQ45" s="1"/>
    </row>
    <row r="46" spans="1:43" ht="24.95" customHeight="1" thickBot="1">
      <c r="A46" s="36"/>
      <c r="B46" s="37"/>
      <c r="C46" s="36"/>
      <c r="D46" s="74"/>
      <c r="E46" s="36"/>
      <c r="H46" s="2"/>
      <c r="I46" s="2"/>
      <c r="J46" s="2"/>
      <c r="K46" s="2"/>
      <c r="L46" s="2"/>
      <c r="M46" s="2"/>
      <c r="N46" s="2"/>
      <c r="O46" s="2"/>
      <c r="P46" s="2"/>
      <c r="V46" s="1">
        <f t="shared" si="7"/>
        <v>2017</v>
      </c>
      <c r="W46" s="1">
        <f t="shared" ca="1" si="2"/>
        <v>88.009672164916793</v>
      </c>
      <c r="X46" s="1">
        <f t="shared" ca="1" si="3"/>
        <v>117.05286397933934</v>
      </c>
      <c r="Y46" s="1">
        <f t="shared" ca="1" si="4"/>
        <v>58.966480350494258</v>
      </c>
      <c r="Z46" s="1">
        <f t="shared" ca="1" si="5"/>
        <v>0</v>
      </c>
      <c r="AA46" t="b">
        <f t="shared" ca="1" si="8"/>
        <v>1</v>
      </c>
      <c r="AC46" s="1">
        <f t="shared" ca="1" si="1"/>
        <v>6900.1343170738064</v>
      </c>
      <c r="AD46" s="1">
        <f t="shared" ca="1" si="6"/>
        <v>6900.1343170738064</v>
      </c>
      <c r="AE46" s="1"/>
      <c r="AF46" s="1"/>
      <c r="AG46" s="1"/>
      <c r="AH46" s="1"/>
      <c r="AI46" s="1"/>
      <c r="AJ46">
        <v>46</v>
      </c>
      <c r="AK46">
        <f t="shared" si="0"/>
        <v>50</v>
      </c>
      <c r="AL46">
        <f ca="1">SUMIF('Consolidated tables'!B:B,'Strumpshaw example'!$T$10,INDIRECT("'Consolidated tables'!"&amp;VLOOKUP(AJ46,AO:AP,2,FALSE)&amp;":"&amp;VLOOKUP(AJ46,AO:AP,2,FALSE)))</f>
        <v>2.4664700031280521E-2</v>
      </c>
      <c r="AM46" s="1">
        <f ca="1">SUMIF('Consolidated tables'!B:B,'Strumpshaw example'!$T$14,INDIRECT("'Consolidated tables'!"&amp;VLOOKUP(AJ46,AO:AP,2,FALSE)&amp;":"&amp;VLOOKUP(AJ46,AO:AP,2,FALSE)))</f>
        <v>1.9337618118524555</v>
      </c>
      <c r="AN46" s="1">
        <f ca="1">SUMIF('Consolidated tables'!B:B,'Strumpshaw example'!$T$15,INDIRECT("'Consolidated tables'!"&amp;VLOOKUP(AJ46,AO:AP,2,FALSE)&amp;":"&amp;VLOOKUP(AJ46,AO:AP,2,FALSE)))</f>
        <v>0</v>
      </c>
      <c r="AO46">
        <v>40</v>
      </c>
      <c r="AP46" t="s">
        <v>51</v>
      </c>
      <c r="AQ46" s="1"/>
    </row>
    <row r="47" spans="1:43" ht="24.75" customHeight="1" thickTop="1" thickBot="1">
      <c r="A47" s="37" t="s">
        <v>104</v>
      </c>
      <c r="B47" s="75" t="s">
        <v>91</v>
      </c>
      <c r="C47" s="76">
        <f>D6+49</f>
        <v>2037</v>
      </c>
      <c r="D47" s="77">
        <f ca="1">SUM(AD17:AD66)</f>
        <v>88722.818651711859</v>
      </c>
      <c r="E47" s="36" t="s">
        <v>103</v>
      </c>
      <c r="V47" s="1">
        <f t="shared" si="7"/>
        <v>2018</v>
      </c>
      <c r="W47" s="1">
        <f t="shared" ca="1" si="2"/>
        <v>81.199836730957202</v>
      </c>
      <c r="X47" s="1">
        <f t="shared" ca="1" si="3"/>
        <v>107.99578285217308</v>
      </c>
      <c r="Y47" s="1">
        <f t="shared" ca="1" si="4"/>
        <v>54.403890609741332</v>
      </c>
      <c r="Z47" s="1">
        <f t="shared" ca="1" si="5"/>
        <v>0</v>
      </c>
      <c r="AA47" t="b">
        <f t="shared" ca="1" si="8"/>
        <v>1</v>
      </c>
      <c r="AC47" s="1">
        <f t="shared" ca="1" si="1"/>
        <v>6366.2295993805055</v>
      </c>
      <c r="AD47" s="1">
        <f t="shared" ca="1" si="6"/>
        <v>6366.2295993805055</v>
      </c>
      <c r="AE47" s="1"/>
      <c r="AF47" s="1"/>
      <c r="AG47" s="1"/>
      <c r="AH47" s="1"/>
      <c r="AI47" s="1"/>
      <c r="AJ47">
        <v>47</v>
      </c>
      <c r="AK47">
        <f t="shared" si="0"/>
        <v>50</v>
      </c>
      <c r="AL47">
        <f ca="1">SUMIF('Consolidated tables'!B:B,'Strumpshaw example'!$T$10,INDIRECT("'Consolidated tables'!"&amp;VLOOKUP(AJ47,AO:AP,2,FALSE)&amp;":"&amp;VLOOKUP(AJ47,AO:AP,2,FALSE)))</f>
        <v>2.2801976203918439E-2</v>
      </c>
      <c r="AM47" s="1">
        <f ca="1">SUMIF('Consolidated tables'!B:B,'Strumpshaw example'!$T$14,INDIRECT("'Consolidated tables'!"&amp;VLOOKUP(AJ47,AO:AP,2,FALSE)&amp;":"&amp;VLOOKUP(AJ47,AO:AP,2,FALSE)))</f>
        <v>1.7877205383396131</v>
      </c>
      <c r="AN47" s="1">
        <f ca="1">SUMIF('Consolidated tables'!B:B,'Strumpshaw example'!$T$15,INDIRECT("'Consolidated tables'!"&amp;VLOOKUP(AJ47,AO:AP,2,FALSE)&amp;":"&amp;VLOOKUP(AJ47,AO:AP,2,FALSE)))</f>
        <v>0</v>
      </c>
      <c r="AO47">
        <v>41</v>
      </c>
      <c r="AP47" t="s">
        <v>52</v>
      </c>
      <c r="AQ47" s="1"/>
    </row>
    <row r="48" spans="1:43">
      <c r="V48" s="1">
        <f t="shared" si="7"/>
        <v>2019</v>
      </c>
      <c r="W48" s="1">
        <f t="shared" ca="1" si="2"/>
        <v>74.928774833679199</v>
      </c>
      <c r="X48" s="1">
        <f t="shared" ca="1" si="3"/>
        <v>99.655270528793338</v>
      </c>
      <c r="Y48" s="1">
        <f t="shared" ca="1" si="4"/>
        <v>50.202279138565068</v>
      </c>
      <c r="Z48" s="1">
        <f t="shared" ca="1" si="5"/>
        <v>0</v>
      </c>
      <c r="AA48" t="b">
        <f t="shared" ca="1" si="8"/>
        <v>1</v>
      </c>
      <c r="AC48" s="1">
        <f t="shared" ca="1" si="1"/>
        <v>5874.5658045101172</v>
      </c>
      <c r="AD48" s="1">
        <f t="shared" ca="1" si="6"/>
        <v>5874.5658045101172</v>
      </c>
      <c r="AE48" s="1"/>
      <c r="AF48" s="1"/>
      <c r="AG48" s="1"/>
      <c r="AH48" s="1"/>
      <c r="AI48" s="1"/>
      <c r="AJ48">
        <v>48</v>
      </c>
      <c r="AK48">
        <f t="shared" si="0"/>
        <v>50</v>
      </c>
      <c r="AL48">
        <f ca="1">SUMIF('Consolidated tables'!B:B,'Strumpshaw example'!$T$10,INDIRECT("'Consolidated tables'!"&amp;VLOOKUP(AJ48,AO:AP,2,FALSE)&amp;":"&amp;VLOOKUP(AJ48,AO:AP,2,FALSE)))</f>
        <v>2.1081891059875478E-2</v>
      </c>
      <c r="AM48" s="1">
        <f ca="1">SUMIF('Consolidated tables'!B:B,'Strumpshaw example'!$T$14,INDIRECT("'Consolidated tables'!"&amp;VLOOKUP(AJ48,AO:AP,2,FALSE)&amp;":"&amp;VLOOKUP(AJ48,AO:AP,2,FALSE)))</f>
        <v>1.6528624228763573</v>
      </c>
      <c r="AN48" s="1">
        <f ca="1">SUMIF('Consolidated tables'!B:B,'Strumpshaw example'!$T$15,INDIRECT("'Consolidated tables'!"&amp;VLOOKUP(AJ48,AO:AP,2,FALSE)&amp;":"&amp;VLOOKUP(AJ48,AO:AP,2,FALSE)))</f>
        <v>0</v>
      </c>
      <c r="AO48">
        <v>42</v>
      </c>
      <c r="AP48" t="s">
        <v>53</v>
      </c>
      <c r="AQ48" s="1"/>
    </row>
    <row r="49" spans="4:43">
      <c r="V49" s="1">
        <f t="shared" si="7"/>
        <v>2020</v>
      </c>
      <c r="W49" s="1">
        <f t="shared" ca="1" si="2"/>
        <v>69.152641296386804</v>
      </c>
      <c r="X49" s="1">
        <f t="shared" ca="1" si="3"/>
        <v>91.97301292419445</v>
      </c>
      <c r="Y49" s="1">
        <f t="shared" ca="1" si="4"/>
        <v>46.332269668579158</v>
      </c>
      <c r="Z49" s="1">
        <f t="shared" ca="1" si="5"/>
        <v>0</v>
      </c>
      <c r="AA49" t="b">
        <f t="shared" ca="1" si="8"/>
        <v>1</v>
      </c>
      <c r="AC49" s="1">
        <f t="shared" ca="1" si="1"/>
        <v>5421.7053829193183</v>
      </c>
      <c r="AD49" s="1">
        <f t="shared" ca="1" si="6"/>
        <v>5421.7053829193183</v>
      </c>
      <c r="AE49" s="1"/>
      <c r="AF49" s="1"/>
      <c r="AG49" s="1"/>
      <c r="AH49" s="1"/>
      <c r="AI49" s="1"/>
      <c r="AJ49">
        <v>49</v>
      </c>
      <c r="AK49">
        <f t="shared" si="0"/>
        <v>50</v>
      </c>
      <c r="AL49">
        <f ca="1">SUMIF('Consolidated tables'!B:B,'Strumpshaw example'!$T$10,INDIRECT("'Consolidated tables'!"&amp;VLOOKUP(AJ49,AO:AP,2,FALSE)&amp;":"&amp;VLOOKUP(AJ49,AO:AP,2,FALSE)))</f>
        <v>1.9493311643600478E-2</v>
      </c>
      <c r="AM49" s="1">
        <f ca="1">SUMIF('Consolidated tables'!B:B,'Strumpshaw example'!$T$14,INDIRECT("'Consolidated tables'!"&amp;VLOOKUP(AJ49,AO:AP,2,FALSE)&amp;":"&amp;VLOOKUP(AJ49,AO:AP,2,FALSE)))</f>
        <v>1.5283146194815647</v>
      </c>
      <c r="AN49" s="1">
        <f ca="1">SUMIF('Consolidated tables'!B:B,'Strumpshaw example'!$T$15,INDIRECT("'Consolidated tables'!"&amp;VLOOKUP(AJ49,AO:AP,2,FALSE)&amp;":"&amp;VLOOKUP(AJ49,AO:AP,2,FALSE)))</f>
        <v>0</v>
      </c>
      <c r="AO49">
        <v>43</v>
      </c>
      <c r="AP49" t="s">
        <v>54</v>
      </c>
      <c r="AQ49" s="1"/>
    </row>
    <row r="50" spans="4:43">
      <c r="V50" s="1">
        <f t="shared" si="7"/>
        <v>2021</v>
      </c>
      <c r="W50" s="1">
        <f t="shared" ca="1" si="2"/>
        <v>63.831267356872402</v>
      </c>
      <c r="X50" s="1">
        <f t="shared" ca="1" si="3"/>
        <v>84.895585584640301</v>
      </c>
      <c r="Y50" s="1">
        <f t="shared" ca="1" si="4"/>
        <v>42.766949129104511</v>
      </c>
      <c r="Z50" s="1">
        <f t="shared" ca="1" si="5"/>
        <v>0</v>
      </c>
      <c r="AA50" t="b">
        <f t="shared" ca="1" si="8"/>
        <v>1</v>
      </c>
      <c r="AC50" s="1">
        <f t="shared" ca="1" si="1"/>
        <v>5004.4990233135104</v>
      </c>
      <c r="AD50" s="1">
        <f t="shared" ca="1" si="6"/>
        <v>5004.4990233135104</v>
      </c>
      <c r="AE50" s="1"/>
      <c r="AF50" s="1"/>
      <c r="AG50" s="1"/>
      <c r="AH50" s="1"/>
      <c r="AI50" s="1"/>
      <c r="AJ50">
        <v>50</v>
      </c>
      <c r="AK50">
        <f t="shared" si="0"/>
        <v>50</v>
      </c>
      <c r="AL50">
        <f ca="1">SUMIF('Consolidated tables'!B:B,'Strumpshaw example'!$T$10,INDIRECT("'Consolidated tables'!"&amp;VLOOKUP(AJ50,AO:AP,2,FALSE)&amp;":"&amp;VLOOKUP(AJ50,AO:AP,2,FALSE)))</f>
        <v>1.8025999069213882E-2</v>
      </c>
      <c r="AM50" s="1">
        <f ca="1">SUMIF('Consolidated tables'!B:B,'Strumpshaw example'!$T$14,INDIRECT("'Consolidated tables'!"&amp;VLOOKUP(AJ50,AO:AP,2,FALSE)&amp;":"&amp;VLOOKUP(AJ50,AO:AP,2,FALSE)))</f>
        <v>1.4132743790245068</v>
      </c>
      <c r="AN50" s="1">
        <f ca="1">SUMIF('Consolidated tables'!B:B,'Strumpshaw example'!$T$15,INDIRECT("'Consolidated tables'!"&amp;VLOOKUP(AJ50,AO:AP,2,FALSE)&amp;":"&amp;VLOOKUP(AJ50,AO:AP,2,FALSE)))</f>
        <v>0</v>
      </c>
      <c r="AO50">
        <v>44</v>
      </c>
      <c r="AP50" t="s">
        <v>55</v>
      </c>
      <c r="AQ50" s="1"/>
    </row>
    <row r="51" spans="4:43">
      <c r="V51" s="1">
        <f t="shared" si="7"/>
        <v>2022</v>
      </c>
      <c r="W51" s="1">
        <f t="shared" ca="1" si="2"/>
        <v>58.927869796752795</v>
      </c>
      <c r="X51" s="1">
        <f t="shared" ca="1" si="3"/>
        <v>78.374066829681226</v>
      </c>
      <c r="Y51" s="1">
        <f t="shared" ca="1" si="4"/>
        <v>39.481672763824378</v>
      </c>
      <c r="Z51" s="1">
        <f t="shared" ca="1" si="5"/>
        <v>0</v>
      </c>
      <c r="AA51" t="b">
        <f t="shared" ca="1" si="8"/>
        <v>1</v>
      </c>
      <c r="AC51" s="1">
        <f t="shared" ca="1" si="1"/>
        <v>4620.0628478050121</v>
      </c>
      <c r="AD51" s="1">
        <f t="shared" ca="1" si="6"/>
        <v>4620.0628478050121</v>
      </c>
      <c r="AE51" s="1"/>
      <c r="AF51" s="1"/>
      <c r="AG51" s="1"/>
      <c r="AH51" s="1"/>
      <c r="AI51" s="1"/>
      <c r="AM51" s="1"/>
      <c r="AN51" s="1"/>
      <c r="AO51">
        <v>45</v>
      </c>
      <c r="AP51" t="s">
        <v>56</v>
      </c>
      <c r="AQ51" s="1"/>
    </row>
    <row r="52" spans="4:43">
      <c r="V52" s="1">
        <f t="shared" si="7"/>
        <v>2023</v>
      </c>
      <c r="W52" s="1">
        <f t="shared" ca="1" si="2"/>
        <v>54.4087266921996</v>
      </c>
      <c r="X52" s="1">
        <f t="shared" ca="1" si="3"/>
        <v>72.363606500625465</v>
      </c>
      <c r="Y52" s="1">
        <f t="shared" ca="1" si="4"/>
        <v>36.453846883773735</v>
      </c>
      <c r="Z52" s="1">
        <f t="shared" ca="1" si="5"/>
        <v>0</v>
      </c>
      <c r="AA52" t="b">
        <f t="shared" ca="1" si="8"/>
        <v>1</v>
      </c>
      <c r="AC52" s="1">
        <f t="shared" ca="1" si="1"/>
        <v>4265.7529901218322</v>
      </c>
      <c r="AD52" s="1">
        <f t="shared" ca="1" si="6"/>
        <v>4265.7529901218322</v>
      </c>
      <c r="AE52" s="1"/>
      <c r="AF52" s="1"/>
      <c r="AG52" s="1"/>
      <c r="AH52" s="1"/>
      <c r="AI52" s="1"/>
      <c r="AM52" s="1"/>
      <c r="AN52" s="1"/>
      <c r="AO52">
        <v>46</v>
      </c>
      <c r="AP52" t="s">
        <v>57</v>
      </c>
      <c r="AQ52" s="1"/>
    </row>
    <row r="53" spans="4:43">
      <c r="V53" s="1">
        <f t="shared" si="7"/>
        <v>2024</v>
      </c>
      <c r="W53" s="1">
        <f t="shared" ca="1" si="2"/>
        <v>50.242938995361207</v>
      </c>
      <c r="X53" s="1">
        <f t="shared" ca="1" si="3"/>
        <v>66.823108863830413</v>
      </c>
      <c r="Y53" s="1">
        <f t="shared" ca="1" si="4"/>
        <v>33.662769126892009</v>
      </c>
      <c r="Z53" s="1">
        <f t="shared" ca="1" si="5"/>
        <v>0</v>
      </c>
      <c r="AA53" t="b">
        <f t="shared" ca="1" si="8"/>
        <v>1</v>
      </c>
      <c r="AC53" s="1">
        <f t="shared" ca="1" si="1"/>
        <v>3939.1469031143088</v>
      </c>
      <c r="AD53" s="1">
        <f t="shared" ca="1" si="6"/>
        <v>3939.1469031143088</v>
      </c>
      <c r="AE53" s="1"/>
      <c r="AF53" s="1"/>
      <c r="AG53" s="1"/>
      <c r="AH53" s="1"/>
      <c r="AI53" s="1"/>
      <c r="AM53" s="1"/>
      <c r="AN53" s="1"/>
      <c r="AO53">
        <v>47</v>
      </c>
      <c r="AP53" t="s">
        <v>63</v>
      </c>
    </row>
    <row r="54" spans="4:43">
      <c r="D54" s="53"/>
      <c r="V54" s="1">
        <f t="shared" si="7"/>
        <v>2025</v>
      </c>
      <c r="W54" s="1">
        <f t="shared" ca="1" si="2"/>
        <v>46.402163505554007</v>
      </c>
      <c r="X54" s="1">
        <f t="shared" ca="1" si="3"/>
        <v>61.714877462386831</v>
      </c>
      <c r="Y54" s="1">
        <f t="shared" ca="1" si="4"/>
        <v>31.089449548721188</v>
      </c>
      <c r="Z54" s="1">
        <f t="shared" ca="1" si="5"/>
        <v>0</v>
      </c>
      <c r="AA54" t="b">
        <f t="shared" ca="1" si="8"/>
        <v>1</v>
      </c>
      <c r="AC54" s="1">
        <f t="shared" ca="1" si="1"/>
        <v>3638.0224231624447</v>
      </c>
      <c r="AD54" s="1">
        <f t="shared" ca="1" si="6"/>
        <v>3638.0224231624447</v>
      </c>
      <c r="AE54" s="1"/>
      <c r="AF54" s="1"/>
      <c r="AG54" s="1"/>
      <c r="AH54" s="1"/>
      <c r="AI54" s="1"/>
      <c r="AM54" s="1"/>
      <c r="AN54" s="1"/>
      <c r="AO54">
        <v>48</v>
      </c>
      <c r="AP54" t="s">
        <v>64</v>
      </c>
    </row>
    <row r="55" spans="4:43">
      <c r="V55" s="1">
        <f t="shared" si="7"/>
        <v>2026</v>
      </c>
      <c r="W55" s="1">
        <f t="shared" ca="1" si="2"/>
        <v>42.860412597656406</v>
      </c>
      <c r="X55" s="1">
        <f t="shared" ca="1" si="3"/>
        <v>57.004348754883026</v>
      </c>
      <c r="Y55" s="1">
        <f t="shared" ca="1" si="4"/>
        <v>28.716476440429794</v>
      </c>
      <c r="Z55" s="1">
        <f t="shared" ca="1" si="5"/>
        <v>0</v>
      </c>
      <c r="AA55" t="b">
        <f t="shared" ca="1" si="8"/>
        <v>1</v>
      </c>
      <c r="AC55" s="1">
        <f t="shared" ca="1" si="1"/>
        <v>3360.3420684814569</v>
      </c>
      <c r="AD55" s="1">
        <f t="shared" ca="1" si="6"/>
        <v>3360.3420684814569</v>
      </c>
      <c r="AE55" s="1"/>
      <c r="AF55" s="1"/>
      <c r="AG55" s="1"/>
      <c r="AH55" s="1"/>
      <c r="AI55" s="1"/>
      <c r="AM55" s="1"/>
      <c r="AN55" s="1"/>
      <c r="AO55">
        <v>49</v>
      </c>
      <c r="AP55" t="s">
        <v>65</v>
      </c>
    </row>
    <row r="56" spans="4:43">
      <c r="V56" s="1">
        <f t="shared" si="7"/>
        <v>2027</v>
      </c>
      <c r="W56" s="1">
        <f t="shared" ca="1" si="2"/>
        <v>39.593837261199958</v>
      </c>
      <c r="X56" s="1">
        <f t="shared" ca="1" si="3"/>
        <v>52.659803557395946</v>
      </c>
      <c r="Y56" s="1">
        <f t="shared" ca="1" si="4"/>
        <v>26.527870965003974</v>
      </c>
      <c r="Z56" s="1">
        <f t="shared" ca="1" si="5"/>
        <v>0</v>
      </c>
      <c r="AA56" t="b">
        <f t="shared" ca="1" si="8"/>
        <v>1</v>
      </c>
      <c r="AC56" s="1">
        <f t="shared" ca="1" si="1"/>
        <v>3104.2360289525991</v>
      </c>
      <c r="AD56" s="1">
        <f t="shared" ca="1" si="6"/>
        <v>3104.2360289525991</v>
      </c>
      <c r="AE56" s="1"/>
      <c r="AF56" s="1"/>
      <c r="AG56" s="1"/>
      <c r="AH56" s="1"/>
      <c r="AI56" s="1"/>
      <c r="AM56" s="1"/>
      <c r="AN56" s="1"/>
      <c r="AO56">
        <v>50</v>
      </c>
      <c r="AP56" t="s">
        <v>66</v>
      </c>
    </row>
    <row r="57" spans="4:43">
      <c r="V57" s="1">
        <f t="shared" si="7"/>
        <v>2028</v>
      </c>
      <c r="W57" s="1">
        <f t="shared" ca="1" si="2"/>
        <v>36.580548286438002</v>
      </c>
      <c r="X57" s="1">
        <f t="shared" ca="1" si="3"/>
        <v>48.652129220962543</v>
      </c>
      <c r="Y57" s="1">
        <f t="shared" ca="1" si="4"/>
        <v>24.508967351913462</v>
      </c>
      <c r="Z57" s="1">
        <f t="shared" ca="1" si="5"/>
        <v>0</v>
      </c>
      <c r="AA57" t="b">
        <f t="shared" ca="1" si="8"/>
        <v>1</v>
      </c>
      <c r="AC57" s="1">
        <f t="shared" ca="1" si="1"/>
        <v>2867.9881467533123</v>
      </c>
      <c r="AD57" s="1">
        <f t="shared" ca="1" si="6"/>
        <v>2867.9881467533123</v>
      </c>
      <c r="AE57" s="1"/>
      <c r="AF57" s="1"/>
      <c r="AG57" s="1"/>
      <c r="AH57" s="1"/>
      <c r="AI57" s="1"/>
    </row>
    <row r="58" spans="4:43">
      <c r="V58" s="1">
        <f t="shared" si="7"/>
        <v>2029</v>
      </c>
      <c r="W58" s="1">
        <f t="shared" ca="1" si="2"/>
        <v>33.800449371337884</v>
      </c>
      <c r="X58" s="1">
        <f t="shared" ca="1" si="3"/>
        <v>44.95459766387939</v>
      </c>
      <c r="Y58" s="1">
        <f t="shared" ca="1" si="4"/>
        <v>22.646301078796384</v>
      </c>
      <c r="Z58" s="1">
        <f t="shared" ca="1" si="5"/>
        <v>0</v>
      </c>
      <c r="AA58" t="b">
        <f t="shared" ca="1" si="8"/>
        <v>1</v>
      </c>
      <c r="AC58" s="1">
        <f t="shared" ca="1" si="1"/>
        <v>2650.0228316116322</v>
      </c>
      <c r="AD58" s="1">
        <f t="shared" ca="1" si="6"/>
        <v>2650.0228316116322</v>
      </c>
      <c r="AE58" s="1"/>
      <c r="AF58" s="1"/>
      <c r="AG58" s="1"/>
      <c r="AH58" s="1"/>
      <c r="AI58" s="1"/>
    </row>
    <row r="59" spans="4:43">
      <c r="V59" s="1">
        <f t="shared" si="7"/>
        <v>2030</v>
      </c>
      <c r="W59" s="1">
        <f t="shared" ca="1" si="2"/>
        <v>31.235089302062999</v>
      </c>
      <c r="X59" s="1">
        <f t="shared" ca="1" si="3"/>
        <v>41.542668771743791</v>
      </c>
      <c r="Y59" s="1">
        <f t="shared" ca="1" si="4"/>
        <v>20.92750983238221</v>
      </c>
      <c r="Z59" s="1">
        <f t="shared" ca="1" si="5"/>
        <v>0</v>
      </c>
      <c r="AA59" t="b">
        <f t="shared" ca="1" si="8"/>
        <v>1</v>
      </c>
      <c r="AC59" s="1">
        <f t="shared" ca="1" si="1"/>
        <v>2448.8934714603429</v>
      </c>
      <c r="AD59" s="1">
        <f t="shared" ca="1" si="6"/>
        <v>2448.8934714603429</v>
      </c>
      <c r="AE59" s="1"/>
      <c r="AF59" s="1"/>
      <c r="AG59" s="1"/>
      <c r="AH59" s="1"/>
      <c r="AI59" s="1"/>
    </row>
    <row r="60" spans="4:43">
      <c r="V60" s="1">
        <f t="shared" si="7"/>
        <v>2031</v>
      </c>
      <c r="W60" s="1">
        <f t="shared" ca="1" si="2"/>
        <v>28.867518901824962</v>
      </c>
      <c r="X60" s="1">
        <f t="shared" ca="1" si="3"/>
        <v>38.393800139427199</v>
      </c>
      <c r="Y60" s="1">
        <f t="shared" ca="1" si="4"/>
        <v>19.341237664222724</v>
      </c>
      <c r="Z60" s="1">
        <f t="shared" ca="1" si="5"/>
        <v>0</v>
      </c>
      <c r="AA60" t="b">
        <f t="shared" ca="1" si="8"/>
        <v>1</v>
      </c>
      <c r="AC60" s="1">
        <f t="shared" ca="1" si="1"/>
        <v>2263.2712169408805</v>
      </c>
      <c r="AD60" s="1">
        <f t="shared" ca="1" si="6"/>
        <v>2263.2712169408805</v>
      </c>
      <c r="AE60" s="1"/>
      <c r="AF60" s="1"/>
      <c r="AG60" s="1"/>
      <c r="AH60" s="1"/>
      <c r="AI60" s="1"/>
    </row>
    <row r="61" spans="4:43">
      <c r="V61" s="1">
        <f t="shared" si="7"/>
        <v>2032</v>
      </c>
      <c r="W61" s="1">
        <f t="shared" ca="1" si="2"/>
        <v>26.68215990066528</v>
      </c>
      <c r="X61" s="1">
        <f t="shared" ca="1" si="3"/>
        <v>35.487272667884824</v>
      </c>
      <c r="Y61" s="1">
        <f t="shared" ca="1" si="4"/>
        <v>17.877047133445739</v>
      </c>
      <c r="Z61" s="1">
        <f t="shared" ca="1" si="5"/>
        <v>0</v>
      </c>
      <c r="AA61" t="b">
        <f t="shared" ca="1" si="8"/>
        <v>1</v>
      </c>
      <c r="AC61" s="1">
        <f t="shared" ca="1" si="1"/>
        <v>2091.9347005319592</v>
      </c>
      <c r="AD61" s="1">
        <f t="shared" ca="1" si="6"/>
        <v>2091.9347005319592</v>
      </c>
      <c r="AE61" s="1"/>
      <c r="AF61" s="1"/>
      <c r="AG61" s="1"/>
      <c r="AH61" s="1"/>
      <c r="AI61" s="1"/>
    </row>
    <row r="62" spans="4:43">
      <c r="V62" s="1">
        <f t="shared" si="7"/>
        <v>2033</v>
      </c>
      <c r="W62" s="1">
        <f t="shared" ca="1" si="2"/>
        <v>24.664700031280521</v>
      </c>
      <c r="X62" s="1">
        <f t="shared" ca="1" si="3"/>
        <v>32.804051041603095</v>
      </c>
      <c r="Y62" s="1">
        <f t="shared" ca="1" si="4"/>
        <v>16.52534902095795</v>
      </c>
      <c r="Z62" s="1">
        <f t="shared" ca="1" si="5"/>
        <v>0</v>
      </c>
      <c r="AA62" t="b">
        <f t="shared" ca="1" si="8"/>
        <v>1</v>
      </c>
      <c r="AC62" s="1">
        <f t="shared" ca="1" si="1"/>
        <v>1933.7618118524556</v>
      </c>
      <c r="AD62" s="1">
        <f t="shared" ca="1" si="6"/>
        <v>1933.7618118524556</v>
      </c>
      <c r="AE62" s="1"/>
      <c r="AF62" s="1"/>
      <c r="AG62" s="1"/>
      <c r="AH62" s="1"/>
      <c r="AI62" s="1"/>
    </row>
    <row r="63" spans="4:43">
      <c r="V63" s="1">
        <f t="shared" si="7"/>
        <v>2034</v>
      </c>
      <c r="W63" s="1">
        <f t="shared" ca="1" si="2"/>
        <v>22.801976203918439</v>
      </c>
      <c r="X63" s="1">
        <f t="shared" ca="1" si="3"/>
        <v>30.326628351211525</v>
      </c>
      <c r="Y63" s="1">
        <f t="shared" ca="1" si="4"/>
        <v>15.277324056625355</v>
      </c>
      <c r="Z63" s="1">
        <f t="shared" ca="1" si="5"/>
        <v>0</v>
      </c>
      <c r="AA63" t="b">
        <f t="shared" ca="1" si="8"/>
        <v>1</v>
      </c>
      <c r="AC63" s="1">
        <f t="shared" ca="1" si="1"/>
        <v>1787.7205383396131</v>
      </c>
      <c r="AD63" s="1">
        <f t="shared" ca="1" si="6"/>
        <v>1787.7205383396131</v>
      </c>
      <c r="AE63" s="1"/>
      <c r="AF63" s="1"/>
      <c r="AG63" s="1"/>
      <c r="AH63" s="1"/>
      <c r="AI63" s="1"/>
    </row>
    <row r="64" spans="4:43">
      <c r="V64" s="1">
        <f t="shared" si="7"/>
        <v>2035</v>
      </c>
      <c r="W64" s="1">
        <f t="shared" ca="1" si="2"/>
        <v>21.081891059875478</v>
      </c>
      <c r="X64" s="1">
        <f t="shared" ca="1" si="3"/>
        <v>28.038915109634388</v>
      </c>
      <c r="Y64" s="1">
        <f t="shared" ca="1" si="4"/>
        <v>14.124867010116571</v>
      </c>
      <c r="Z64" s="1">
        <f t="shared" ca="1" si="5"/>
        <v>0</v>
      </c>
      <c r="AA64" t="b">
        <f t="shared" ca="1" si="8"/>
        <v>1</v>
      </c>
      <c r="AC64" s="1">
        <f t="shared" ca="1" si="1"/>
        <v>1652.8624228763574</v>
      </c>
      <c r="AD64" s="1">
        <f t="shared" ca="1" si="6"/>
        <v>1652.8624228763574</v>
      </c>
      <c r="AE64" s="1"/>
      <c r="AF64" s="1"/>
      <c r="AG64" s="1"/>
      <c r="AH64" s="1"/>
      <c r="AI64" s="1"/>
      <c r="AM64" s="1"/>
      <c r="AN64" s="1"/>
    </row>
    <row r="65" spans="22:40">
      <c r="V65" s="1">
        <f t="shared" si="7"/>
        <v>2036</v>
      </c>
      <c r="W65" s="1">
        <f t="shared" ca="1" si="2"/>
        <v>19.493311643600478</v>
      </c>
      <c r="X65" s="1">
        <f t="shared" ca="1" si="3"/>
        <v>25.926104485988638</v>
      </c>
      <c r="Y65" s="1">
        <f t="shared" ca="1" si="4"/>
        <v>13.060518801212321</v>
      </c>
      <c r="Z65" s="1">
        <f t="shared" ca="1" si="5"/>
        <v>0</v>
      </c>
      <c r="AA65" t="b">
        <f t="shared" ca="1" si="8"/>
        <v>1</v>
      </c>
      <c r="AC65" s="1">
        <f t="shared" ca="1" si="1"/>
        <v>1528.3146194815647</v>
      </c>
      <c r="AD65" s="1">
        <f t="shared" ca="1" si="6"/>
        <v>1528.3146194815647</v>
      </c>
      <c r="AE65" s="1"/>
      <c r="AF65" s="1"/>
      <c r="AG65" s="1"/>
      <c r="AH65" s="1"/>
      <c r="AI65" s="1"/>
      <c r="AM65" s="1"/>
      <c r="AN65" s="1"/>
    </row>
    <row r="66" spans="22:40">
      <c r="V66" s="1">
        <f t="shared" si="7"/>
        <v>2037</v>
      </c>
      <c r="W66" s="1">
        <f t="shared" ca="1" si="2"/>
        <v>18.025999069213881</v>
      </c>
      <c r="X66" s="1">
        <f t="shared" ca="1" si="3"/>
        <v>23.974578762054463</v>
      </c>
      <c r="Y66" s="1">
        <f t="shared" ca="1" si="4"/>
        <v>12.077419376373301</v>
      </c>
      <c r="Z66" s="1">
        <f t="shared" ca="1" si="5"/>
        <v>0</v>
      </c>
      <c r="AA66" t="b">
        <f t="shared" ca="1" si="8"/>
        <v>1</v>
      </c>
      <c r="AC66" s="1">
        <f t="shared" ca="1" si="1"/>
        <v>1413.2743790245067</v>
      </c>
      <c r="AD66" s="1">
        <f t="shared" ca="1" si="6"/>
        <v>1413.2743790245067</v>
      </c>
      <c r="AE66" s="1"/>
      <c r="AF66" s="1"/>
      <c r="AG66" s="1"/>
      <c r="AH66" s="1"/>
      <c r="AI66" s="1"/>
      <c r="AM66" s="1"/>
      <c r="AN66" s="1"/>
    </row>
    <row r="69" spans="22:40">
      <c r="V69" s="1"/>
      <c r="W69" s="1"/>
      <c r="X69" s="1"/>
      <c r="Y69" s="1"/>
      <c r="Z69" s="1"/>
      <c r="AC69" s="1"/>
      <c r="AD69" s="1"/>
      <c r="AE69" s="1"/>
      <c r="AF69" s="1"/>
      <c r="AG69" s="1"/>
      <c r="AH69" s="1"/>
      <c r="AI69" s="1"/>
      <c r="AM69" s="1"/>
      <c r="AN69" s="1"/>
    </row>
    <row r="70" spans="22:40">
      <c r="V70" s="1"/>
      <c r="W70" s="1"/>
      <c r="X70" s="1"/>
      <c r="Y70" s="1"/>
      <c r="Z70" s="1"/>
      <c r="AC70" s="1"/>
      <c r="AD70" s="1"/>
      <c r="AE70" s="1"/>
      <c r="AF70" s="1"/>
      <c r="AG70" s="1"/>
      <c r="AH70" s="1"/>
      <c r="AI70" s="1"/>
      <c r="AM70" s="1"/>
      <c r="AN70" s="1"/>
    </row>
    <row r="71" spans="22:40">
      <c r="V71" s="1"/>
      <c r="W71" s="1"/>
      <c r="X71" s="1"/>
      <c r="Y71" s="1"/>
      <c r="Z71" s="1"/>
      <c r="AC71" s="1"/>
      <c r="AD71" s="1"/>
      <c r="AE71" s="1"/>
      <c r="AF71" s="1"/>
      <c r="AG71" s="1"/>
      <c r="AH71" s="1"/>
      <c r="AI71" s="1"/>
      <c r="AM71" s="1"/>
      <c r="AN71" s="1"/>
    </row>
    <row r="72" spans="22:40">
      <c r="V72" s="1"/>
      <c r="W72" s="1"/>
      <c r="X72" s="1"/>
      <c r="Y72" s="1"/>
      <c r="Z72" s="1"/>
      <c r="AC72" s="1"/>
      <c r="AD72" s="1"/>
      <c r="AE72" s="1"/>
      <c r="AF72" s="1"/>
      <c r="AG72" s="1"/>
      <c r="AH72" s="1"/>
      <c r="AI72" s="1"/>
      <c r="AM72" s="1"/>
      <c r="AN72" s="1"/>
    </row>
    <row r="73" spans="22:40">
      <c r="V73" s="1"/>
      <c r="W73" s="1"/>
      <c r="X73" s="1"/>
      <c r="Y73" s="1"/>
      <c r="Z73" s="1"/>
      <c r="AC73" s="1"/>
      <c r="AD73" s="1"/>
      <c r="AE73" s="1"/>
      <c r="AF73" s="1"/>
      <c r="AG73" s="1"/>
      <c r="AH73" s="1"/>
      <c r="AI73" s="1"/>
      <c r="AM73" s="1"/>
      <c r="AN73" s="1"/>
    </row>
    <row r="74" spans="22:40">
      <c r="V74" s="1"/>
      <c r="W74" s="1"/>
      <c r="X74" s="1"/>
      <c r="Y74" s="1"/>
      <c r="Z74" s="1"/>
      <c r="AC74" s="1"/>
      <c r="AD74" s="1"/>
      <c r="AE74" s="1"/>
      <c r="AF74" s="1"/>
      <c r="AG74" s="1"/>
      <c r="AH74" s="1"/>
      <c r="AI74" s="1"/>
      <c r="AM74" s="1"/>
      <c r="AN74" s="1"/>
    </row>
    <row r="75" spans="22:40">
      <c r="V75" s="1"/>
      <c r="W75" s="1"/>
      <c r="X75" s="1"/>
      <c r="Y75" s="1"/>
      <c r="Z75" s="1"/>
      <c r="AC75" s="1"/>
      <c r="AD75" s="1"/>
      <c r="AE75" s="1"/>
      <c r="AF75" s="1"/>
      <c r="AG75" s="1"/>
      <c r="AH75" s="1"/>
      <c r="AI75" s="1"/>
      <c r="AM75" s="1"/>
      <c r="AN75" s="1"/>
    </row>
    <row r="76" spans="22:40">
      <c r="V76" s="1"/>
      <c r="W76" s="1"/>
      <c r="X76" s="1"/>
      <c r="Y76" s="1"/>
      <c r="Z76" s="1"/>
      <c r="AC76" s="1"/>
      <c r="AD76" s="1"/>
      <c r="AE76" s="1"/>
      <c r="AF76" s="1"/>
      <c r="AG76" s="1"/>
      <c r="AH76" s="1"/>
      <c r="AI76" s="1"/>
      <c r="AM76" s="1"/>
      <c r="AN76" s="1"/>
    </row>
    <row r="77" spans="22:40">
      <c r="V77" s="1"/>
      <c r="W77" s="1"/>
      <c r="X77" s="1"/>
      <c r="Y77" s="1"/>
      <c r="Z77" s="1"/>
      <c r="AC77" s="1"/>
      <c r="AD77" s="1"/>
      <c r="AE77" s="1"/>
      <c r="AF77" s="1"/>
      <c r="AG77" s="1"/>
      <c r="AH77" s="1"/>
      <c r="AI77" s="1"/>
      <c r="AM77" s="1"/>
      <c r="AN77" s="1"/>
    </row>
    <row r="78" spans="22:40">
      <c r="AM78" s="1"/>
      <c r="AN78" s="1"/>
    </row>
    <row r="79" spans="22:40">
      <c r="AM79" s="1"/>
      <c r="AN79" s="1"/>
    </row>
    <row r="80" spans="22:40">
      <c r="AM80" s="1"/>
      <c r="AN80" s="1"/>
    </row>
    <row r="81" spans="39:40">
      <c r="AM81" s="1"/>
      <c r="AN81" s="1"/>
    </row>
    <row r="82" spans="39:40">
      <c r="AM82" s="1"/>
      <c r="AN82" s="1"/>
    </row>
    <row r="83" spans="39:40">
      <c r="AM83" s="1"/>
      <c r="AN83" s="1"/>
    </row>
    <row r="84" spans="39:40">
      <c r="AM84" s="1"/>
      <c r="AN84" s="1"/>
    </row>
    <row r="159" spans="8:6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1" spans="8:52">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3" spans="8:52">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5" spans="8:52">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7" spans="8:52">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sheetData>
  <sheetProtection password="BDE7" sheet="1" objects="1" scenarios="1"/>
  <dataValidations count="5">
    <dataValidation type="decimal" showInputMessage="1" showErrorMessage="1" errorTitle="Percentage only" error="Enter a percentage value between 0 and 100%" sqref="F41:F43">
      <formula1>0</formula1>
      <formula2>1</formula2>
    </dataValidation>
    <dataValidation type="whole" allowBlank="1" showErrorMessage="1" errorTitle="Numbers only" error="Numbers only" sqref="D8">
      <formula1>0</formula1>
      <formula2>10000000</formula2>
    </dataValidation>
    <dataValidation allowBlank="1" showInputMessage="1" showErrorMessage="1" error="Please enter a number between only" sqref="D2"/>
    <dataValidation type="whole" allowBlank="1" showErrorMessage="1" errorTitle="Numbers only" error="Please enter a number between Year of Site Opening and the Current Year." sqref="D6">
      <formula1>D4</formula1>
      <formula2>D2</formula2>
    </dataValidation>
    <dataValidation type="whole" allowBlank="1" showInputMessage="1" showErrorMessage="1" errorTitle="Numbers only" error="Please enter a number between 1900 and the Current Year." sqref="D4">
      <formula1>1900</formula1>
      <formula2>D2</formula2>
    </dataValidation>
  </dataValidations>
  <pageMargins left="0.7" right="0.7" top="0.75" bottom="0.75" header="0.3" footer="0.3"/>
  <pageSetup paperSize="9" orientation="portrait" verticalDpi="0"/>
  <drawing r:id="rId1"/>
  <legacyDrawing r:id="rId2"/>
</worksheet>
</file>

<file path=xl/worksheets/sheet8.xml><?xml version="1.0" encoding="utf-8"?>
<worksheet xmlns="http://schemas.openxmlformats.org/spreadsheetml/2006/main" xmlns:r="http://schemas.openxmlformats.org/officeDocument/2006/relationships">
  <dimension ref="A1:BP167"/>
  <sheetViews>
    <sheetView showGridLines="0" zoomScale="70" zoomScaleNormal="70" workbookViewId="0">
      <selection activeCell="B38" sqref="B38"/>
    </sheetView>
  </sheetViews>
  <sheetFormatPr defaultRowHeight="15" outlineLevelCol="1"/>
  <cols>
    <col min="1" max="1" width="105.77734375" customWidth="1"/>
    <col min="2" max="2" width="47.77734375" customWidth="1"/>
    <col min="3" max="3" width="6.44140625" customWidth="1"/>
    <col min="4" max="4" width="11" bestFit="1" customWidth="1"/>
    <col min="5" max="5" width="17.33203125" customWidth="1"/>
    <col min="6" max="6" width="11.5546875" customWidth="1"/>
    <col min="7" max="7" width="7.5546875" customWidth="1"/>
    <col min="8" max="8" width="53.77734375" customWidth="1"/>
    <col min="9" max="16" width="15.77734375" customWidth="1"/>
    <col min="17" max="19" width="6.88671875" customWidth="1"/>
    <col min="20" max="21" width="8.88671875" customWidth="1" outlineLevel="1"/>
    <col min="22" max="22" width="12.44140625" bestFit="1" customWidth="1" outlineLevel="1"/>
    <col min="23" max="23" width="35.77734375" bestFit="1" customWidth="1" outlineLevel="1"/>
    <col min="24" max="24" width="5.5546875" customWidth="1" outlineLevel="1"/>
    <col min="25" max="25" width="5.33203125" bestFit="1" customWidth="1" outlineLevel="1"/>
    <col min="26" max="26" width="11.6640625" bestFit="1" customWidth="1" outlineLevel="1"/>
    <col min="27" max="27" width="10.33203125" bestFit="1" customWidth="1" outlineLevel="1"/>
    <col min="28" max="28" width="1.77734375" customWidth="1" outlineLevel="1"/>
    <col min="29" max="29" width="37.44140625" bestFit="1" customWidth="1" outlineLevel="1"/>
    <col min="30" max="30" width="11.33203125" bestFit="1" customWidth="1" outlineLevel="1"/>
    <col min="31" max="35" width="1.77734375" customWidth="1" outlineLevel="1"/>
    <col min="36" max="41" width="8.88671875" customWidth="1" outlineLevel="1"/>
    <col min="42" max="42" width="4" customWidth="1" outlineLevel="1"/>
  </cols>
  <sheetData>
    <row r="1" spans="1:43" ht="24.95" customHeight="1" thickBot="1">
      <c r="A1" s="34" t="s">
        <v>83</v>
      </c>
      <c r="T1" t="str">
        <f ca="1">IF(T10&lt;&gt;"","Table Value","")</f>
        <v>Table Value</v>
      </c>
      <c r="AJ1">
        <v>1</v>
      </c>
      <c r="AK1">
        <v>5</v>
      </c>
      <c r="AL1">
        <f ca="1">SUMIF('Consolidated tables'!B:B,'Maesbury Road example'!$T$10,INDIRECT("'Consolidated tables'!"&amp;VLOOKUP(AJ1,AO:AP,2,FALSE)&amp;":"&amp;VLOOKUP(AJ1,AO:AP,2,FALSE)))</f>
        <v>1.005887298583984</v>
      </c>
      <c r="AM1" s="1">
        <f ca="1">SUMIF('Consolidated tables'!B:B,'Maesbury Road example'!$T$14,INDIRECT("'Consolidated tables'!"&amp;VLOOKUP(AJ1,AO:AP,2,FALSE)&amp;":"&amp;VLOOKUP(AJ1,AO:AP,2,FALSE)))</f>
        <v>78.863575983581498</v>
      </c>
      <c r="AN1" s="1">
        <f ca="1">SUMIF('Consolidated tables'!B:B,'Maesbury Road example'!$T$15,INDIRECT("'Consolidated tables'!"&amp;VLOOKUP(AJ1,AO:AP,2,FALSE)&amp;":"&amp;VLOOKUP(AJ1,AO:AP,2,FALSE)))</f>
        <v>0</v>
      </c>
      <c r="AP1" t="s">
        <v>58</v>
      </c>
      <c r="AQ1" s="1"/>
    </row>
    <row r="2" spans="1:43" ht="24" customHeight="1" thickBot="1">
      <c r="B2" s="71" t="s">
        <v>2</v>
      </c>
      <c r="D2" s="18">
        <f ca="1">YEAR(TODAY())</f>
        <v>2015</v>
      </c>
      <c r="E2" s="36" t="s">
        <v>8</v>
      </c>
      <c r="F2" s="18"/>
      <c r="G2" s="36" t="str">
        <f>"= Result Cell"</f>
        <v>= Result Cell</v>
      </c>
      <c r="AJ2">
        <v>2</v>
      </c>
      <c r="AK2">
        <v>5</v>
      </c>
      <c r="AL2">
        <f ca="1">SUMIF('Consolidated tables'!B:B,'Maesbury Road example'!$T$10,INDIRECT("'Consolidated tables'!"&amp;VLOOKUP(AJ2,AO:AP,2,FALSE)&amp;":"&amp;VLOOKUP(AJ2,AO:AP,2,FALSE)))</f>
        <v>0.98647033691406405</v>
      </c>
      <c r="AM2" s="1">
        <f ca="1">SUMIF('Consolidated tables'!B:B,'Maesbury Road example'!$T$14,INDIRECT("'Consolidated tables'!"&amp;VLOOKUP(AJ2,AO:AP,2,FALSE)&amp;":"&amp;VLOOKUP(AJ2,AO:AP,2,FALSE)))</f>
        <v>77.341247354736439</v>
      </c>
      <c r="AN2" s="1">
        <f ca="1">SUMIF('Consolidated tables'!B:B,'Maesbury Road example'!$T$15,INDIRECT("'Consolidated tables'!"&amp;VLOOKUP(AJ2,AO:AP,2,FALSE)&amp;":"&amp;VLOOKUP(AJ2,AO:AP,2,FALSE)))</f>
        <v>0</v>
      </c>
      <c r="AP2" t="s">
        <v>59</v>
      </c>
      <c r="AQ2" s="1"/>
    </row>
    <row r="3" spans="1:43" ht="24" customHeight="1" thickBot="1">
      <c r="B3" s="35"/>
      <c r="D3" s="11"/>
      <c r="E3" s="36"/>
      <c r="G3" s="36"/>
      <c r="AJ3">
        <v>3</v>
      </c>
      <c r="AK3">
        <v>5</v>
      </c>
      <c r="AL3">
        <f ca="1">SUMIF('Consolidated tables'!B:B,'Maesbury Road example'!$T$10,INDIRECT("'Consolidated tables'!"&amp;VLOOKUP(AJ3,AO:AP,2,FALSE)&amp;":"&amp;VLOOKUP(AJ3,AO:AP,2,FALSE)))</f>
        <v>0.87776512145996</v>
      </c>
      <c r="AM3" s="1">
        <f ca="1">SUMIF('Consolidated tables'!B:B,'Maesbury Road example'!$T$14,INDIRECT("'Consolidated tables'!"&amp;VLOOKUP(AJ3,AO:AP,2,FALSE)&amp;":"&amp;VLOOKUP(AJ3,AO:AP,2,FALSE)))</f>
        <v>68.818541052703779</v>
      </c>
      <c r="AN3" s="1">
        <f ca="1">SUMIF('Consolidated tables'!B:B,'Maesbury Road example'!$T$15,INDIRECT("'Consolidated tables'!"&amp;VLOOKUP(AJ3,AO:AP,2,FALSE)&amp;":"&amp;VLOOKUP(AJ3,AO:AP,2,FALSE)))</f>
        <v>0</v>
      </c>
      <c r="AP3" t="s">
        <v>60</v>
      </c>
      <c r="AQ3" s="1"/>
    </row>
    <row r="4" spans="1:43" ht="24" customHeight="1" thickBot="1">
      <c r="A4" s="35" t="s">
        <v>94</v>
      </c>
      <c r="B4" s="71" t="s">
        <v>4</v>
      </c>
      <c r="D4" s="33">
        <v>1972</v>
      </c>
      <c r="E4" s="36" t="s">
        <v>8</v>
      </c>
      <c r="F4" s="39"/>
      <c r="G4" s="36" t="str">
        <f>"= Text Entry Cell"</f>
        <v>= Text Entry Cell</v>
      </c>
      <c r="T4" t="s">
        <v>9</v>
      </c>
      <c r="U4" t="s">
        <v>9</v>
      </c>
      <c r="AJ4">
        <v>4</v>
      </c>
      <c r="AK4">
        <v>5</v>
      </c>
      <c r="AL4">
        <f ca="1">SUMIF('Consolidated tables'!B:B,'Maesbury Road example'!$T$10,INDIRECT("'Consolidated tables'!"&amp;VLOOKUP(AJ4,AO:AP,2,FALSE)&amp;":"&amp;VLOOKUP(AJ4,AO:AP,2,FALSE)))</f>
        <v>0.78837692260741998</v>
      </c>
      <c r="AM4" s="1">
        <f ca="1">SUMIF('Consolidated tables'!B:B,'Maesbury Road example'!$T$14,INDIRECT("'Consolidated tables'!"&amp;VLOOKUP(AJ4,AO:AP,2,FALSE)&amp;":"&amp;VLOOKUP(AJ4,AO:AP,2,FALSE)))</f>
        <v>61.810327486266935</v>
      </c>
      <c r="AN4" s="1">
        <f ca="1">SUMIF('Consolidated tables'!B:B,'Maesbury Road example'!$T$15,INDIRECT("'Consolidated tables'!"&amp;VLOOKUP(AJ4,AO:AP,2,FALSE)&amp;":"&amp;VLOOKUP(AJ4,AO:AP,2,FALSE)))</f>
        <v>0</v>
      </c>
      <c r="AP4" t="s">
        <v>61</v>
      </c>
      <c r="AQ4" s="1"/>
    </row>
    <row r="5" spans="1:43" ht="24" customHeight="1" thickBot="1">
      <c r="A5" s="36"/>
      <c r="B5" s="36"/>
      <c r="D5" s="11"/>
      <c r="E5" s="36"/>
      <c r="AJ5">
        <v>5</v>
      </c>
      <c r="AK5">
        <v>5</v>
      </c>
      <c r="AL5">
        <f ca="1">SUMIF('Consolidated tables'!B:B,'Maesbury Road example'!$T$10,INDIRECT("'Consolidated tables'!"&amp;VLOOKUP(AJ5,AO:AP,2,FALSE)&amp;":"&amp;VLOOKUP(AJ5,AO:AP,2,FALSE)))</f>
        <v>0.71481063842773596</v>
      </c>
      <c r="AM5" s="1">
        <f ca="1">SUMIF('Consolidated tables'!B:B,'Maesbury Road example'!$T$14,INDIRECT("'Consolidated tables'!"&amp;VLOOKUP(AJ5,AO:AP,2,FALSE)&amp;":"&amp;VLOOKUP(AJ5,AO:AP,2,FALSE)))</f>
        <v>56.042583674011361</v>
      </c>
      <c r="AN5" s="1">
        <f ca="1">SUMIF('Consolidated tables'!B:B,'Maesbury Road example'!$T$15,INDIRECT("'Consolidated tables'!"&amp;VLOOKUP(AJ5,AO:AP,2,FALSE)&amp;":"&amp;VLOOKUP(AJ5,AO:AP,2,FALSE)))</f>
        <v>0</v>
      </c>
      <c r="AP5" t="s">
        <v>68</v>
      </c>
      <c r="AQ5" s="1"/>
    </row>
    <row r="6" spans="1:43" ht="24" customHeight="1" thickBot="1">
      <c r="A6" s="37" t="s">
        <v>95</v>
      </c>
      <c r="B6" s="71" t="s">
        <v>3</v>
      </c>
      <c r="D6" s="33">
        <v>1991</v>
      </c>
      <c r="E6" s="36" t="s">
        <v>8</v>
      </c>
      <c r="T6" t="s">
        <v>10</v>
      </c>
      <c r="U6" t="s">
        <v>11</v>
      </c>
      <c r="AJ6">
        <v>6</v>
      </c>
      <c r="AK6">
        <f>AK1+5</f>
        <v>10</v>
      </c>
      <c r="AL6">
        <f ca="1">SUMIF('Consolidated tables'!B:B,'Maesbury Road example'!$T$10,INDIRECT("'Consolidated tables'!"&amp;VLOOKUP(AJ6,AO:AP,2,FALSE)&amp;":"&amp;VLOOKUP(AJ6,AO:AP,2,FALSE)))</f>
        <v>0.65162628173827997</v>
      </c>
      <c r="AM6" s="1">
        <f ca="1">SUMIF('Consolidated tables'!B:B,'Maesbury Road example'!$T$14,INDIRECT("'Consolidated tables'!"&amp;VLOOKUP(AJ6,AO:AP,2,FALSE)&amp;":"&amp;VLOOKUP(AJ6,AO:AP,2,FALSE)))</f>
        <v>51.088803740844625</v>
      </c>
      <c r="AN6" s="1">
        <f ca="1">SUMIF('Consolidated tables'!B:B,'Maesbury Road example'!$T$15,INDIRECT("'Consolidated tables'!"&amp;VLOOKUP(AJ6,AO:AP,2,FALSE)&amp;":"&amp;VLOOKUP(AJ6,AO:AP,2,FALSE)))</f>
        <v>0</v>
      </c>
      <c r="AP6" t="s">
        <v>62</v>
      </c>
      <c r="AQ6" s="1"/>
    </row>
    <row r="7" spans="1:43" ht="24" customHeight="1" thickBot="1">
      <c r="A7" s="36"/>
      <c r="B7" s="36"/>
      <c r="D7" s="11"/>
      <c r="E7" s="36"/>
      <c r="AJ7">
        <v>7</v>
      </c>
      <c r="AK7">
        <f t="shared" ref="AK7:AK50" si="0">AK2+5</f>
        <v>10</v>
      </c>
      <c r="AL7">
        <f ca="1">SUMIF('Consolidated tables'!B:B,'Maesbury Road example'!$T$10,INDIRECT("'Consolidated tables'!"&amp;VLOOKUP(AJ7,AO:AP,2,FALSE)&amp;":"&amp;VLOOKUP(AJ7,AO:AP,2,FALSE)))</f>
        <v>0.595885391235352</v>
      </c>
      <c r="AM7" s="1">
        <f ca="1">SUMIF('Consolidated tables'!B:B,'Maesbury Road example'!$T$14,INDIRECT("'Consolidated tables'!"&amp;VLOOKUP(AJ7,AO:AP,2,FALSE)&amp;":"&amp;VLOOKUP(AJ7,AO:AP,2,FALSE)))</f>
        <v>46.718606443634066</v>
      </c>
      <c r="AN7" s="1">
        <f ca="1">SUMIF('Consolidated tables'!B:B,'Maesbury Road example'!$T$15,INDIRECT("'Consolidated tables'!"&amp;VLOOKUP(AJ7,AO:AP,2,FALSE)&amp;":"&amp;VLOOKUP(AJ7,AO:AP,2,FALSE)))</f>
        <v>0</v>
      </c>
      <c r="AO7">
        <v>1</v>
      </c>
      <c r="AP7" t="s">
        <v>12</v>
      </c>
      <c r="AQ7" s="1"/>
    </row>
    <row r="8" spans="1:43" ht="24" customHeight="1" thickBot="1">
      <c r="A8" s="37" t="s">
        <v>98</v>
      </c>
      <c r="B8" s="71" t="s">
        <v>6</v>
      </c>
      <c r="D8" s="19">
        <v>1200</v>
      </c>
      <c r="E8" s="36" t="s">
        <v>99</v>
      </c>
      <c r="AJ8">
        <v>8</v>
      </c>
      <c r="AK8">
        <f t="shared" si="0"/>
        <v>10</v>
      </c>
      <c r="AL8">
        <f ca="1">SUMIF('Consolidated tables'!B:B,'Maesbury Road example'!$T$10,INDIRECT("'Consolidated tables'!"&amp;VLOOKUP(AJ8,AO:AP,2,FALSE)&amp;":"&amp;VLOOKUP(AJ8,AO:AP,2,FALSE)))</f>
        <v>0.54591938018798802</v>
      </c>
      <c r="AM8" s="1">
        <f ca="1">SUMIF('Consolidated tables'!B:B,'Maesbury Road example'!$T$14,INDIRECT("'Consolidated tables'!"&amp;VLOOKUP(AJ8,AO:AP,2,FALSE)&amp;":"&amp;VLOOKUP(AJ8,AO:AP,2,FALSE)))</f>
        <v>42.801171245498644</v>
      </c>
      <c r="AN8" s="1">
        <f ca="1">SUMIF('Consolidated tables'!B:B,'Maesbury Road example'!$T$15,INDIRECT("'Consolidated tables'!"&amp;VLOOKUP(AJ8,AO:AP,2,FALSE)&amp;":"&amp;VLOOKUP(AJ8,AO:AP,2,FALSE)))</f>
        <v>0</v>
      </c>
      <c r="AO8">
        <v>2</v>
      </c>
      <c r="AP8" t="s">
        <v>13</v>
      </c>
      <c r="AQ8" s="1"/>
    </row>
    <row r="9" spans="1:43" ht="24.95" customHeight="1">
      <c r="AJ9">
        <v>9</v>
      </c>
      <c r="AK9">
        <f t="shared" si="0"/>
        <v>10</v>
      </c>
      <c r="AL9">
        <f ca="1">SUMIF('Consolidated tables'!B:B,'Maesbury Road example'!$T$10,INDIRECT("'Consolidated tables'!"&amp;VLOOKUP(AJ9,AO:AP,2,FALSE)&amp;":"&amp;VLOOKUP(AJ9,AO:AP,2,FALSE)))</f>
        <v>0.50071277618408405</v>
      </c>
      <c r="AM9" s="1">
        <f ca="1">SUMIF('Consolidated tables'!B:B,'Maesbury Road example'!$T$14,INDIRECT("'Consolidated tables'!"&amp;VLOOKUP(AJ9,AO:AP,2,FALSE)&amp;":"&amp;VLOOKUP(AJ9,AO:AP,2,FALSE)))</f>
        <v>39.256883078384561</v>
      </c>
      <c r="AN9" s="1">
        <f ca="1">SUMIF('Consolidated tables'!B:B,'Maesbury Road example'!$T$15,INDIRECT("'Consolidated tables'!"&amp;VLOOKUP(AJ9,AO:AP,2,FALSE)&amp;":"&amp;VLOOKUP(AJ9,AO:AP,2,FALSE)))</f>
        <v>0</v>
      </c>
      <c r="AO9">
        <v>3</v>
      </c>
      <c r="AP9" t="s">
        <v>14</v>
      </c>
      <c r="AQ9" s="1"/>
    </row>
    <row r="10" spans="1:43" ht="26.25">
      <c r="A10" s="31" t="s">
        <v>72</v>
      </c>
      <c r="Q10" s="2"/>
      <c r="R10" s="2"/>
      <c r="S10" s="2"/>
      <c r="T10" s="3">
        <f ca="1">IF(COUNTA(D2:D8)=4,VLOOKUP(D39,AJ:AK,2,FALSE),"")</f>
        <v>20</v>
      </c>
      <c r="U10">
        <f ca="1">VLOOKUP(T10,'Consolidated tables'!B:G,6,FALSE)</f>
        <v>1.005887298583984</v>
      </c>
      <c r="V10">
        <f ca="1">VLOOKUP(T10,'Consolidated tables'!B:G,6,FALSE)</f>
        <v>1.005887298583984</v>
      </c>
      <c r="AJ10">
        <v>10</v>
      </c>
      <c r="AK10">
        <f t="shared" si="0"/>
        <v>10</v>
      </c>
      <c r="AL10">
        <f ca="1">SUMIF('Consolidated tables'!B:B,'Maesbury Road example'!$T$10,INDIRECT("'Consolidated tables'!"&amp;VLOOKUP(AJ10,AO:AP,2,FALSE)&amp;":"&amp;VLOOKUP(AJ10,AO:AP,2,FALSE)))</f>
        <v>0.459593048095704</v>
      </c>
      <c r="AM10" s="1">
        <f ca="1">SUMIF('Consolidated tables'!B:B,'Maesbury Road example'!$T$14,INDIRECT("'Consolidated tables'!"&amp;VLOOKUP(AJ10,AO:AP,2,FALSE)&amp;":"&amp;VLOOKUP(AJ10,AO:AP,2,FALSE)))</f>
        <v>36.033014156799389</v>
      </c>
      <c r="AN10" s="1">
        <f ca="1">SUMIF('Consolidated tables'!B:B,'Maesbury Road example'!$T$15,INDIRECT("'Consolidated tables'!"&amp;VLOOKUP(AJ10,AO:AP,2,FALSE)&amp;":"&amp;VLOOKUP(AJ10,AO:AP,2,FALSE)))</f>
        <v>0</v>
      </c>
      <c r="AO10">
        <v>4</v>
      </c>
      <c r="AP10" t="s">
        <v>15</v>
      </c>
      <c r="AQ10" s="1"/>
    </row>
    <row r="11" spans="1:43" ht="20.100000000000001" customHeight="1">
      <c r="Q11" s="2"/>
      <c r="R11" s="2"/>
      <c r="S11" s="2"/>
      <c r="T11" s="3"/>
      <c r="AJ11">
        <v>11</v>
      </c>
      <c r="AK11">
        <f t="shared" si="0"/>
        <v>15</v>
      </c>
      <c r="AL11">
        <f ca="1">SUMIF('Consolidated tables'!B:B,'Maesbury Road example'!$T$10,INDIRECT("'Consolidated tables'!"&amp;VLOOKUP(AJ11,AO:AP,2,FALSE)&amp;":"&amp;VLOOKUP(AJ11,AO:AP,2,FALSE)))</f>
        <v>0.42207427978515599</v>
      </c>
      <c r="AM11" s="1">
        <f ca="1">SUMIF('Consolidated tables'!B:B,'Maesbury Road example'!$T$14,INDIRECT("'Consolidated tables'!"&amp;VLOOKUP(AJ11,AO:AP,2,FALSE)&amp;":"&amp;VLOOKUP(AJ11,AO:AP,2,FALSE)))</f>
        <v>33.091467683715805</v>
      </c>
      <c r="AN11" s="1">
        <f ca="1">SUMIF('Consolidated tables'!B:B,'Maesbury Road example'!$T$15,INDIRECT("'Consolidated tables'!"&amp;VLOOKUP(AJ11,AO:AP,2,FALSE)&amp;":"&amp;VLOOKUP(AJ11,AO:AP,2,FALSE)))</f>
        <v>0</v>
      </c>
      <c r="AO11">
        <v>5</v>
      </c>
      <c r="AP11" t="s">
        <v>16</v>
      </c>
      <c r="AQ11" s="1"/>
    </row>
    <row r="12" spans="1:43" ht="20.100000000000001" customHeight="1">
      <c r="Q12" s="13"/>
      <c r="R12" s="13"/>
      <c r="S12" s="13"/>
      <c r="T12" s="4">
        <f ca="1">T10+1</f>
        <v>21</v>
      </c>
      <c r="U12">
        <f ca="1">VLOOKUP(T12,'Consolidated tables'!B:H,7,FALSE)</f>
        <v>1.0196832696770803</v>
      </c>
      <c r="AJ12">
        <v>12</v>
      </c>
      <c r="AK12">
        <f t="shared" si="0"/>
        <v>15</v>
      </c>
      <c r="AL12">
        <f ca="1">SUMIF('Consolidated tables'!B:B,'Maesbury Road example'!$T$10,INDIRECT("'Consolidated tables'!"&amp;VLOOKUP(AJ12,AO:AP,2,FALSE)&amp;":"&amp;VLOOKUP(AJ12,AO:AP,2,FALSE)))</f>
        <v>0.38777732849121077</v>
      </c>
      <c r="AM12" s="1">
        <f ca="1">SUMIF('Consolidated tables'!B:B,'Maesbury Road example'!$T$14,INDIRECT("'Consolidated tables'!"&amp;VLOOKUP(AJ12,AO:AP,2,FALSE)&amp;":"&amp;VLOOKUP(AJ12,AO:AP,2,FALSE)))</f>
        <v>30.402518108367911</v>
      </c>
      <c r="AN12" s="1">
        <f ca="1">SUMIF('Consolidated tables'!B:B,'Maesbury Road example'!$T$15,INDIRECT("'Consolidated tables'!"&amp;VLOOKUP(AJ12,AO:AP,2,FALSE)&amp;":"&amp;VLOOKUP(AJ12,AO:AP,2,FALSE)))</f>
        <v>0</v>
      </c>
      <c r="AO12">
        <v>6</v>
      </c>
      <c r="AP12" t="s">
        <v>17</v>
      </c>
      <c r="AQ12" s="1"/>
    </row>
    <row r="13" spans="1:43" ht="20.100000000000001" customHeight="1">
      <c r="Q13" s="2"/>
      <c r="R13" s="2"/>
      <c r="S13" s="2"/>
      <c r="T13" s="4"/>
      <c r="AJ13">
        <v>13</v>
      </c>
      <c r="AK13">
        <f t="shared" si="0"/>
        <v>15</v>
      </c>
      <c r="AL13">
        <f ca="1">SUMIF('Consolidated tables'!B:B,'Maesbury Road example'!$T$10,INDIRECT("'Consolidated tables'!"&amp;VLOOKUP(AJ13,AO:AP,2,FALSE)&amp;":"&amp;VLOOKUP(AJ13,AO:AP,2,FALSE)))</f>
        <v>0.35638896942138681</v>
      </c>
      <c r="AM13" s="1">
        <f ca="1">SUMIF('Consolidated tables'!B:B,'Maesbury Road example'!$T$14,INDIRECT("'Consolidated tables'!"&amp;VLOOKUP(AJ13,AO:AP,2,FALSE)&amp;":"&amp;VLOOKUP(AJ13,AO:AP,2,FALSE)))</f>
        <v>27.941607980575572</v>
      </c>
      <c r="AN13" s="1">
        <f ca="1">SUMIF('Consolidated tables'!B:B,'Maesbury Road example'!$T$15,INDIRECT("'Consolidated tables'!"&amp;VLOOKUP(AJ13,AO:AP,2,FALSE)&amp;":"&amp;VLOOKUP(AJ13,AO:AP,2,FALSE)))</f>
        <v>0</v>
      </c>
      <c r="AO13">
        <v>7</v>
      </c>
      <c r="AP13" t="s">
        <v>18</v>
      </c>
      <c r="AQ13" s="1"/>
    </row>
    <row r="14" spans="1:43" ht="20.100000000000001" customHeight="1">
      <c r="Q14" s="2"/>
      <c r="R14" s="2"/>
      <c r="S14" s="2"/>
      <c r="T14" s="4">
        <f ca="1">T10+2</f>
        <v>22</v>
      </c>
      <c r="AJ14">
        <v>14</v>
      </c>
      <c r="AK14">
        <f t="shared" si="0"/>
        <v>15</v>
      </c>
      <c r="AL14">
        <f ca="1">SUMIF('Consolidated tables'!B:B,'Maesbury Road example'!$T$10,INDIRECT("'Consolidated tables'!"&amp;VLOOKUP(AJ14,AO:AP,2,FALSE)&amp;":"&amp;VLOOKUP(AJ14,AO:AP,2,FALSE)))</f>
        <v>0.32763992309570322</v>
      </c>
      <c r="AM14" s="1">
        <f ca="1">SUMIF('Consolidated tables'!B:B,'Maesbury Road example'!$T$14,INDIRECT("'Consolidated tables'!"&amp;VLOOKUP(AJ14,AO:AP,2,FALSE)&amp;":"&amp;VLOOKUP(AJ14,AO:AP,2,FALSE)))</f>
        <v>25.687625250549324</v>
      </c>
      <c r="AN14" s="1">
        <f ca="1">SUMIF('Consolidated tables'!B:B,'Maesbury Road example'!$T$15,INDIRECT("'Consolidated tables'!"&amp;VLOOKUP(AJ14,AO:AP,2,FALSE)&amp;":"&amp;VLOOKUP(AJ14,AO:AP,2,FALSE)))</f>
        <v>0</v>
      </c>
      <c r="AO14">
        <v>8</v>
      </c>
      <c r="AP14" t="s">
        <v>19</v>
      </c>
      <c r="AQ14" s="1"/>
    </row>
    <row r="15" spans="1:43" ht="20.100000000000001" customHeight="1">
      <c r="Q15" s="2"/>
      <c r="R15" s="2"/>
      <c r="S15" s="2"/>
      <c r="T15" s="4">
        <v>18</v>
      </c>
      <c r="AJ15">
        <v>15</v>
      </c>
      <c r="AK15">
        <f t="shared" si="0"/>
        <v>15</v>
      </c>
      <c r="AL15">
        <f ca="1">SUMIF('Consolidated tables'!B:B,'Maesbury Road example'!$T$10,INDIRECT("'Consolidated tables'!"&amp;VLOOKUP(AJ15,AO:AP,2,FALSE)&amp;":"&amp;VLOOKUP(AJ15,AO:AP,2,FALSE)))</f>
        <v>0.30129331588745123</v>
      </c>
      <c r="AM15" s="1">
        <f ca="1">SUMIF('Consolidated tables'!B:B,'Maesbury Road example'!$T$14,INDIRECT("'Consolidated tables'!"&amp;VLOOKUP(AJ15,AO:AP,2,FALSE)&amp;":"&amp;VLOOKUP(AJ15,AO:AP,2,FALSE)))</f>
        <v>23.621998552207952</v>
      </c>
      <c r="AN15" s="1">
        <f ca="1">SUMIF('Consolidated tables'!B:B,'Maesbury Road example'!$T$15,INDIRECT("'Consolidated tables'!"&amp;VLOOKUP(AJ15,AO:AP,2,FALSE)&amp;":"&amp;VLOOKUP(AJ15,AO:AP,2,FALSE)))</f>
        <v>0</v>
      </c>
      <c r="AO15">
        <v>9</v>
      </c>
      <c r="AP15" t="s">
        <v>20</v>
      </c>
      <c r="AQ15" s="1"/>
    </row>
    <row r="16" spans="1:43" ht="20.100000000000001" customHeight="1">
      <c r="V16" t="s">
        <v>8</v>
      </c>
      <c r="W16" t="s">
        <v>89</v>
      </c>
      <c r="X16" s="9" t="s">
        <v>96</v>
      </c>
      <c r="Y16" s="10" t="s">
        <v>97</v>
      </c>
      <c r="Z16" t="s">
        <v>2</v>
      </c>
      <c r="AA16" t="s">
        <v>90</v>
      </c>
      <c r="AC16" t="s">
        <v>85</v>
      </c>
      <c r="AD16" s="40" t="s">
        <v>87</v>
      </c>
      <c r="AE16" s="10"/>
      <c r="AG16" s="10"/>
      <c r="AH16" s="10"/>
      <c r="AJ16">
        <v>16</v>
      </c>
      <c r="AK16">
        <f t="shared" si="0"/>
        <v>20</v>
      </c>
      <c r="AL16">
        <f ca="1">SUMIF('Consolidated tables'!B:B,'Maesbury Road example'!$T$10,INDIRECT("'Consolidated tables'!"&amp;VLOOKUP(AJ16,AO:AP,2,FALSE)&amp;":"&amp;VLOOKUP(AJ16,AO:AP,2,FALSE)))</f>
        <v>0.27713743209838881</v>
      </c>
      <c r="AM16" s="1">
        <f ca="1">SUMIF('Consolidated tables'!B:B,'Maesbury Road example'!$T$14,INDIRECT("'Consolidated tables'!"&amp;VLOOKUP(AJ16,AO:AP,2,FALSE)&amp;":"&amp;VLOOKUP(AJ16,AO:AP,2,FALSE)))</f>
        <v>21.728128951377883</v>
      </c>
      <c r="AN16" s="1">
        <f ca="1">SUMIF('Consolidated tables'!B:B,'Maesbury Road example'!$T$15,INDIRECT("'Consolidated tables'!"&amp;VLOOKUP(AJ16,AO:AP,2,FALSE)&amp;":"&amp;VLOOKUP(AJ16,AO:AP,2,FALSE)))</f>
        <v>0</v>
      </c>
      <c r="AO16">
        <v>10</v>
      </c>
      <c r="AP16" t="s">
        <v>21</v>
      </c>
      <c r="AQ16" s="1"/>
    </row>
    <row r="17" spans="1:43" ht="20.100000000000001" customHeight="1">
      <c r="A17" s="11"/>
      <c r="D17" s="11"/>
      <c r="V17" s="1">
        <f>D6</f>
        <v>1991</v>
      </c>
      <c r="W17" s="1">
        <f ca="1">AL1*$D$8</f>
        <v>1207.0647583007808</v>
      </c>
      <c r="X17" s="1">
        <f ca="1">W17*1.33</f>
        <v>1605.3961285400385</v>
      </c>
      <c r="Y17" s="1">
        <f ca="1">W17*0.67</f>
        <v>808.73338806152321</v>
      </c>
      <c r="Z17" s="1">
        <f ca="1">IF(V17=$D$2,1,0)</f>
        <v>0</v>
      </c>
      <c r="AA17" t="b">
        <f ca="1">IF(Z17=1,TRUE,FALSE)</f>
        <v>0</v>
      </c>
      <c r="AC17" s="1">
        <f t="shared" ref="AC17:AC66" ca="1" si="1">AM1*$D$8</f>
        <v>94636.291180297791</v>
      </c>
      <c r="AD17" s="1">
        <f ca="1">IF(AA17=TRUE,AC17,0)</f>
        <v>0</v>
      </c>
      <c r="AE17" s="1"/>
      <c r="AF17" s="1"/>
      <c r="AG17" s="1"/>
      <c r="AH17" s="1"/>
      <c r="AI17" s="1"/>
      <c r="AJ17">
        <v>17</v>
      </c>
      <c r="AK17">
        <f t="shared" si="0"/>
        <v>20</v>
      </c>
      <c r="AL17">
        <f ca="1">SUMIF('Consolidated tables'!B:B,'Maesbury Road example'!$T$10,INDIRECT("'Consolidated tables'!"&amp;VLOOKUP(AJ17,AO:AP,2,FALSE)&amp;":"&amp;VLOOKUP(AJ17,AO:AP,2,FALSE)))</f>
        <v>0.25498161315917961</v>
      </c>
      <c r="AM17" s="1">
        <f ca="1">SUMIF('Consolidated tables'!B:B,'Maesbury Road example'!$T$14,INDIRECT("'Consolidated tables'!"&amp;VLOOKUP(AJ17,AO:AP,2,FALSE)&amp;":"&amp;VLOOKUP(AJ17,AO:AP,2,FALSE)))</f>
        <v>19.991068434906001</v>
      </c>
      <c r="AN17" s="1">
        <f ca="1">SUMIF('Consolidated tables'!B:B,'Maesbury Road example'!$T$15,INDIRECT("'Consolidated tables'!"&amp;VLOOKUP(AJ17,AO:AP,2,FALSE)&amp;":"&amp;VLOOKUP(AJ17,AO:AP,2,FALSE)))</f>
        <v>0</v>
      </c>
      <c r="AO17">
        <v>11</v>
      </c>
      <c r="AP17" t="s">
        <v>22</v>
      </c>
      <c r="AQ17" s="1"/>
    </row>
    <row r="18" spans="1:43" ht="20.100000000000001" customHeight="1">
      <c r="A18" s="11"/>
      <c r="D18" s="11"/>
      <c r="V18" s="1">
        <f>V17+1</f>
        <v>1992</v>
      </c>
      <c r="W18" s="1">
        <f t="shared" ref="W18:W66" ca="1" si="2">AL2*$D$8</f>
        <v>1183.7644042968768</v>
      </c>
      <c r="X18" s="1">
        <f t="shared" ref="X18:X66" ca="1" si="3">W18*1.33</f>
        <v>1574.4066577148462</v>
      </c>
      <c r="Y18" s="1">
        <f t="shared" ref="Y18:Y66" ca="1" si="4">W18*0.67</f>
        <v>793.12215087890752</v>
      </c>
      <c r="Z18" s="1">
        <f t="shared" ref="Z18:Z66" ca="1" si="5">IF(V18=$D$2,1,0)</f>
        <v>0</v>
      </c>
      <c r="AA18" t="b">
        <f ca="1">IF(Z18=1,TRUE,IF(AA17=TRUE,TRUE,FALSE))</f>
        <v>0</v>
      </c>
      <c r="AC18" s="1">
        <f t="shared" ca="1" si="1"/>
        <v>92809.496825683731</v>
      </c>
      <c r="AD18" s="1">
        <f t="shared" ref="AD18:AD66" ca="1" si="6">IF(AA18=TRUE,AC18,0)</f>
        <v>0</v>
      </c>
      <c r="AE18" s="1"/>
      <c r="AF18" s="1"/>
      <c r="AG18" s="1"/>
      <c r="AH18" s="1"/>
      <c r="AI18" s="1"/>
      <c r="AJ18">
        <v>18</v>
      </c>
      <c r="AK18">
        <f t="shared" si="0"/>
        <v>20</v>
      </c>
      <c r="AL18">
        <f ca="1">SUMIF('Consolidated tables'!B:B,'Maesbury Road example'!$T$10,INDIRECT("'Consolidated tables'!"&amp;VLOOKUP(AJ18,AO:AP,2,FALSE)&amp;":"&amp;VLOOKUP(AJ18,AO:AP,2,FALSE)))</f>
        <v>0.23465324401855481</v>
      </c>
      <c r="AM18" s="1">
        <f ca="1">SUMIF('Consolidated tables'!B:B,'Maesbury Road example'!$T$14,INDIRECT("'Consolidated tables'!"&amp;VLOOKUP(AJ18,AO:AP,2,FALSE)&amp;":"&amp;VLOOKUP(AJ18,AO:AP,2,FALSE)))</f>
        <v>18.397283637542735</v>
      </c>
      <c r="AN18" s="1">
        <f ca="1">SUMIF('Consolidated tables'!B:B,'Maesbury Road example'!$T$15,INDIRECT("'Consolidated tables'!"&amp;VLOOKUP(AJ18,AO:AP,2,FALSE)&amp;":"&amp;VLOOKUP(AJ18,AO:AP,2,FALSE)))</f>
        <v>0</v>
      </c>
      <c r="AO18">
        <v>12</v>
      </c>
      <c r="AP18" t="s">
        <v>23</v>
      </c>
      <c r="AQ18" s="1"/>
    </row>
    <row r="19" spans="1:43">
      <c r="V19" s="1">
        <f t="shared" ref="V19:V66" si="7">V18+1</f>
        <v>1993</v>
      </c>
      <c r="W19" s="1">
        <f t="shared" ca="1" si="2"/>
        <v>1053.318145751952</v>
      </c>
      <c r="X19" s="1">
        <f t="shared" ca="1" si="3"/>
        <v>1400.9131338500963</v>
      </c>
      <c r="Y19" s="1">
        <f t="shared" ca="1" si="4"/>
        <v>705.7231576538079</v>
      </c>
      <c r="Z19" s="1">
        <f t="shared" ca="1" si="5"/>
        <v>0</v>
      </c>
      <c r="AA19" t="b">
        <f t="shared" ref="AA19:AA66" ca="1" si="8">IF(Z19=1,TRUE,IF(AA18=TRUE,TRUE,FALSE))</f>
        <v>0</v>
      </c>
      <c r="AC19" s="1">
        <f t="shared" ca="1" si="1"/>
        <v>82582.249263244536</v>
      </c>
      <c r="AD19" s="1">
        <f t="shared" ca="1" si="6"/>
        <v>0</v>
      </c>
      <c r="AE19" s="1"/>
      <c r="AF19" s="1"/>
      <c r="AG19" s="1"/>
      <c r="AH19" s="1"/>
      <c r="AI19" s="1"/>
      <c r="AJ19">
        <v>19</v>
      </c>
      <c r="AK19">
        <f>AK14+5</f>
        <v>20</v>
      </c>
      <c r="AL19">
        <f ca="1">SUMIF('Consolidated tables'!B:B,'Maesbury Road example'!$T$10,INDIRECT("'Consolidated tables'!"&amp;VLOOKUP(AJ19,AO:AP,2,FALSE)&amp;":"&amp;VLOOKUP(AJ19,AO:AP,2,FALSE)))</f>
        <v>0.21599567413330081</v>
      </c>
      <c r="AM19" s="1">
        <f ca="1">SUMIF('Consolidated tables'!B:B,'Maesbury Road example'!$T$14,INDIRECT("'Consolidated tables'!"&amp;VLOOKUP(AJ19,AO:AP,2,FALSE)&amp;":"&amp;VLOOKUP(AJ19,AO:AP,2,FALSE)))</f>
        <v>16.934492843399049</v>
      </c>
      <c r="AN19" s="1">
        <f ca="1">SUMIF('Consolidated tables'!B:B,'Maesbury Road example'!$T$15,INDIRECT("'Consolidated tables'!"&amp;VLOOKUP(AJ19,AO:AP,2,FALSE)&amp;":"&amp;VLOOKUP(AJ19,AO:AP,2,FALSE)))</f>
        <v>0</v>
      </c>
      <c r="AO19">
        <v>13</v>
      </c>
      <c r="AP19" t="s">
        <v>24</v>
      </c>
      <c r="AQ19" s="1"/>
    </row>
    <row r="20" spans="1:43">
      <c r="V20" s="1">
        <f t="shared" si="7"/>
        <v>1994</v>
      </c>
      <c r="W20" s="1">
        <f ca="1">AL4*$D$8</f>
        <v>946.05230712890398</v>
      </c>
      <c r="X20" s="1">
        <f t="shared" ca="1" si="3"/>
        <v>1258.2495684814423</v>
      </c>
      <c r="Y20" s="1">
        <f t="shared" ca="1" si="4"/>
        <v>633.85504577636573</v>
      </c>
      <c r="Z20" s="1">
        <f t="shared" ca="1" si="5"/>
        <v>0</v>
      </c>
      <c r="AA20" t="b">
        <f t="shared" ca="1" si="8"/>
        <v>0</v>
      </c>
      <c r="AC20" s="1">
        <f t="shared" ca="1" si="1"/>
        <v>74172.392983520316</v>
      </c>
      <c r="AD20" s="1">
        <f t="shared" ca="1" si="6"/>
        <v>0</v>
      </c>
      <c r="AE20" s="1"/>
      <c r="AF20" s="1"/>
      <c r="AG20" s="1"/>
      <c r="AH20" s="1"/>
      <c r="AI20" s="1"/>
      <c r="AJ20">
        <v>20</v>
      </c>
      <c r="AK20">
        <f>AK15+5</f>
        <v>20</v>
      </c>
      <c r="AL20">
        <f ca="1">SUMIF('Consolidated tables'!B:B,'Maesbury Road example'!$T$10,INDIRECT("'Consolidated tables'!"&amp;VLOOKUP(AJ20,AO:AP,2,FALSE)&amp;":"&amp;VLOOKUP(AJ20,AO:AP,2,FALSE)))</f>
        <v>0.1988663291931152</v>
      </c>
      <c r="AM20" s="1">
        <f ca="1">SUMIF('Consolidated tables'!B:B,'Maesbury Road example'!$T$14,INDIRECT("'Consolidated tables'!"&amp;VLOOKUP(AJ20,AO:AP,2,FALSE)&amp;":"&amp;VLOOKUP(AJ20,AO:AP,2,FALSE)))</f>
        <v>15.591517941398619</v>
      </c>
      <c r="AN20" s="1">
        <f ca="1">SUMIF('Consolidated tables'!B:B,'Maesbury Road example'!$T$15,INDIRECT("'Consolidated tables'!"&amp;VLOOKUP(AJ20,AO:AP,2,FALSE)&amp;":"&amp;VLOOKUP(AJ20,AO:AP,2,FALSE)))</f>
        <v>0</v>
      </c>
      <c r="AO20">
        <v>14</v>
      </c>
      <c r="AP20" t="s">
        <v>25</v>
      </c>
      <c r="AQ20" s="1"/>
    </row>
    <row r="21" spans="1:43">
      <c r="V21" s="1">
        <f t="shared" si="7"/>
        <v>1995</v>
      </c>
      <c r="W21" s="1">
        <f ca="1">AL5*$D$8</f>
        <v>857.77276611328318</v>
      </c>
      <c r="X21" s="1">
        <f t="shared" ca="1" si="3"/>
        <v>1140.8377789306667</v>
      </c>
      <c r="Y21" s="1">
        <f t="shared" ca="1" si="4"/>
        <v>574.70775329589981</v>
      </c>
      <c r="Z21" s="1">
        <f t="shared" ca="1" si="5"/>
        <v>0</v>
      </c>
      <c r="AA21" t="b">
        <f t="shared" ca="1" si="8"/>
        <v>0</v>
      </c>
      <c r="AC21" s="1">
        <f t="shared" ca="1" si="1"/>
        <v>67251.10040881364</v>
      </c>
      <c r="AD21" s="1">
        <f t="shared" ca="1" si="6"/>
        <v>0</v>
      </c>
      <c r="AE21" s="1"/>
      <c r="AF21" s="1"/>
      <c r="AG21" s="1"/>
      <c r="AH21" s="1"/>
      <c r="AI21" s="1"/>
      <c r="AJ21">
        <v>21</v>
      </c>
      <c r="AK21">
        <f>AK16+5</f>
        <v>25</v>
      </c>
      <c r="AL21">
        <f ca="1">SUMIF('Consolidated tables'!B:B,'Maesbury Road example'!$T$10,INDIRECT("'Consolidated tables'!"&amp;VLOOKUP(AJ21,AO:AP,2,FALSE)&amp;":"&amp;VLOOKUP(AJ21,AO:AP,2,FALSE)))</f>
        <v>0.18313547134399399</v>
      </c>
      <c r="AM21" s="1">
        <f ca="1">SUMIF('Consolidated tables'!B:B,'Maesbury Road example'!$T$14,INDIRECT("'Consolidated tables'!"&amp;VLOOKUP(AJ21,AO:AP,2,FALSE)&amp;":"&amp;VLOOKUP(AJ21,AO:AP,2,FALSE)))</f>
        <v>14.35818722431182</v>
      </c>
      <c r="AN21" s="1">
        <f ca="1">SUMIF('Consolidated tables'!B:B,'Maesbury Road example'!$T$15,INDIRECT("'Consolidated tables'!"&amp;VLOOKUP(AJ21,AO:AP,2,FALSE)&amp;":"&amp;VLOOKUP(AJ21,AO:AP,2,FALSE)))</f>
        <v>0</v>
      </c>
      <c r="AO21">
        <v>15</v>
      </c>
      <c r="AP21" t="s">
        <v>26</v>
      </c>
      <c r="AQ21" s="1"/>
    </row>
    <row r="22" spans="1:43">
      <c r="V22" s="1">
        <f t="shared" si="7"/>
        <v>1996</v>
      </c>
      <c r="W22" s="1">
        <f t="shared" ca="1" si="2"/>
        <v>781.95153808593591</v>
      </c>
      <c r="X22" s="1">
        <f t="shared" ca="1" si="3"/>
        <v>1039.9955456542948</v>
      </c>
      <c r="Y22" s="1">
        <f t="shared" ca="1" si="4"/>
        <v>523.90753051757713</v>
      </c>
      <c r="Z22" s="1">
        <f t="shared" ca="1" si="5"/>
        <v>0</v>
      </c>
      <c r="AA22" t="b">
        <f t="shared" ca="1" si="8"/>
        <v>0</v>
      </c>
      <c r="AC22" s="1">
        <f t="shared" ca="1" si="1"/>
        <v>61306.564489013552</v>
      </c>
      <c r="AD22" s="1">
        <f t="shared" ca="1" si="6"/>
        <v>0</v>
      </c>
      <c r="AE22" s="1"/>
      <c r="AF22" s="1"/>
      <c r="AG22" s="1"/>
      <c r="AH22" s="1"/>
      <c r="AI22" s="1"/>
      <c r="AJ22">
        <v>22</v>
      </c>
      <c r="AK22">
        <f>AK17+5</f>
        <v>25</v>
      </c>
      <c r="AL22">
        <f ca="1">SUMIF('Consolidated tables'!B:B,'Maesbury Road example'!$T$10,INDIRECT("'Consolidated tables'!"&amp;VLOOKUP(AJ22,AO:AP,2,FALSE)&amp;":"&amp;VLOOKUP(AJ22,AO:AP,2,FALSE)))</f>
        <v>0.16868482589721678</v>
      </c>
      <c r="AM22" s="1">
        <f ca="1">SUMIF('Consolidated tables'!B:B,'Maesbury Road example'!$T$14,INDIRECT("'Consolidated tables'!"&amp;VLOOKUP(AJ22,AO:AP,2,FALSE)&amp;":"&amp;VLOOKUP(AJ22,AO:AP,2,FALSE)))</f>
        <v>13.22522771999359</v>
      </c>
      <c r="AN22" s="1">
        <f ca="1">SUMIF('Consolidated tables'!B:B,'Maesbury Road example'!$T$15,INDIRECT("'Consolidated tables'!"&amp;VLOOKUP(AJ22,AO:AP,2,FALSE)&amp;":"&amp;VLOOKUP(AJ22,AO:AP,2,FALSE)))</f>
        <v>0</v>
      </c>
      <c r="AO22">
        <v>16</v>
      </c>
      <c r="AP22" t="s">
        <v>27</v>
      </c>
      <c r="AQ22" s="1"/>
    </row>
    <row r="23" spans="1:43">
      <c r="V23" s="1">
        <f t="shared" si="7"/>
        <v>1997</v>
      </c>
      <c r="W23" s="1">
        <f t="shared" ca="1" si="2"/>
        <v>715.06246948242244</v>
      </c>
      <c r="X23" s="1">
        <f t="shared" ca="1" si="3"/>
        <v>951.03308441162187</v>
      </c>
      <c r="Y23" s="1">
        <f t="shared" ca="1" si="4"/>
        <v>479.09185455322307</v>
      </c>
      <c r="Z23" s="1">
        <f t="shared" ca="1" si="5"/>
        <v>0</v>
      </c>
      <c r="AA23" t="b">
        <f t="shared" ca="1" si="8"/>
        <v>0</v>
      </c>
      <c r="AC23" s="1">
        <f t="shared" ca="1" si="1"/>
        <v>56062.327732360878</v>
      </c>
      <c r="AD23" s="1">
        <f t="shared" ca="1" si="6"/>
        <v>0</v>
      </c>
      <c r="AE23" s="1"/>
      <c r="AF23" s="1"/>
      <c r="AG23" s="1"/>
      <c r="AH23" s="1"/>
      <c r="AI23" s="1"/>
      <c r="AJ23">
        <v>23</v>
      </c>
      <c r="AK23">
        <f>AK18+5</f>
        <v>25</v>
      </c>
      <c r="AL23">
        <f ca="1">SUMIF('Consolidated tables'!B:B,'Maesbury Road example'!$T$10,INDIRECT("'Consolidated tables'!"&amp;VLOOKUP(AJ23,AO:AP,2,FALSE)&amp;":"&amp;VLOOKUP(AJ23,AO:AP,2,FALSE)))</f>
        <v>0.1554065418243408</v>
      </c>
      <c r="AM23" s="1">
        <f ca="1">SUMIF('Consolidated tables'!B:B,'Maesbury Road example'!$T$14,INDIRECT("'Consolidated tables'!"&amp;VLOOKUP(AJ23,AO:AP,2,FALSE)&amp;":"&amp;VLOOKUP(AJ23,AO:AP,2,FALSE)))</f>
        <v>12.184183692111969</v>
      </c>
      <c r="AN23" s="1">
        <f ca="1">SUMIF('Consolidated tables'!B:B,'Maesbury Road example'!$T$15,INDIRECT("'Consolidated tables'!"&amp;VLOOKUP(AJ23,AO:AP,2,FALSE)&amp;":"&amp;VLOOKUP(AJ23,AO:AP,2,FALSE)))</f>
        <v>0</v>
      </c>
      <c r="AO23">
        <v>17</v>
      </c>
      <c r="AP23" t="s">
        <v>28</v>
      </c>
      <c r="AQ23" s="1"/>
    </row>
    <row r="24" spans="1:43">
      <c r="V24" s="1">
        <f t="shared" si="7"/>
        <v>1998</v>
      </c>
      <c r="W24" s="1">
        <f t="shared" ca="1" si="2"/>
        <v>655.1032562255856</v>
      </c>
      <c r="X24" s="1">
        <f t="shared" ca="1" si="3"/>
        <v>871.28733078002892</v>
      </c>
      <c r="Y24" s="1">
        <f t="shared" ca="1" si="4"/>
        <v>438.91918167114238</v>
      </c>
      <c r="Z24" s="1">
        <f t="shared" ca="1" si="5"/>
        <v>0</v>
      </c>
      <c r="AA24" t="b">
        <f t="shared" ca="1" si="8"/>
        <v>0</v>
      </c>
      <c r="AC24" s="1">
        <f t="shared" ca="1" si="1"/>
        <v>51361.405494598373</v>
      </c>
      <c r="AD24" s="1">
        <f t="shared" ca="1" si="6"/>
        <v>0</v>
      </c>
      <c r="AE24" s="1"/>
      <c r="AF24" s="1"/>
      <c r="AG24" s="1"/>
      <c r="AH24" s="1"/>
      <c r="AI24" s="1"/>
      <c r="AJ24">
        <v>24</v>
      </c>
      <c r="AK24">
        <f t="shared" si="0"/>
        <v>25</v>
      </c>
      <c r="AL24">
        <f ca="1">SUMIF('Consolidated tables'!B:B,'Maesbury Road example'!$T$10,INDIRECT("'Consolidated tables'!"&amp;VLOOKUP(AJ24,AO:AP,2,FALSE)&amp;":"&amp;VLOOKUP(AJ24,AO:AP,2,FALSE)))</f>
        <v>0.1432022476196288</v>
      </c>
      <c r="AM24" s="1">
        <f ca="1">SUMIF('Consolidated tables'!B:B,'Maesbury Road example'!$T$14,INDIRECT("'Consolidated tables'!"&amp;VLOOKUP(AJ24,AO:AP,2,FALSE)&amp;":"&amp;VLOOKUP(AJ24,AO:AP,2,FALSE)))</f>
        <v>11.227342617874136</v>
      </c>
      <c r="AN24" s="1">
        <f ca="1">SUMIF('Consolidated tables'!B:B,'Maesbury Road example'!$T$15,INDIRECT("'Consolidated tables'!"&amp;VLOOKUP(AJ24,AO:AP,2,FALSE)&amp;":"&amp;VLOOKUP(AJ24,AO:AP,2,FALSE)))</f>
        <v>0</v>
      </c>
      <c r="AO24">
        <v>18</v>
      </c>
      <c r="AP24" t="s">
        <v>29</v>
      </c>
      <c r="AQ24" s="1"/>
    </row>
    <row r="25" spans="1:43">
      <c r="V25" s="1">
        <f t="shared" si="7"/>
        <v>1999</v>
      </c>
      <c r="W25" s="1">
        <f t="shared" ca="1" si="2"/>
        <v>600.85533142090082</v>
      </c>
      <c r="X25" s="1">
        <f t="shared" ca="1" si="3"/>
        <v>799.1375907897982</v>
      </c>
      <c r="Y25" s="1">
        <f t="shared" ca="1" si="4"/>
        <v>402.57307205200357</v>
      </c>
      <c r="Z25" s="1">
        <f t="shared" ca="1" si="5"/>
        <v>0</v>
      </c>
      <c r="AA25" t="b">
        <f t="shared" ca="1" si="8"/>
        <v>0</v>
      </c>
      <c r="AC25" s="1">
        <f t="shared" ca="1" si="1"/>
        <v>47108.259694061475</v>
      </c>
      <c r="AD25" s="1">
        <f t="shared" ca="1" si="6"/>
        <v>0</v>
      </c>
      <c r="AE25" s="1"/>
      <c r="AF25" s="1"/>
      <c r="AG25" s="1"/>
      <c r="AH25" s="1"/>
      <c r="AI25" s="1"/>
      <c r="AJ25">
        <v>25</v>
      </c>
      <c r="AK25">
        <f t="shared" si="0"/>
        <v>25</v>
      </c>
      <c r="AL25">
        <f ca="1">SUMIF('Consolidated tables'!B:B,'Maesbury Road example'!$T$10,INDIRECT("'Consolidated tables'!"&amp;VLOOKUP(AJ25,AO:AP,2,FALSE)&amp;":"&amp;VLOOKUP(AJ25,AO:AP,2,FALSE)))</f>
        <v>0.13198213577270521</v>
      </c>
      <c r="AM25" s="1">
        <f ca="1">SUMIF('Consolidated tables'!B:B,'Maesbury Road example'!$T$14,INDIRECT("'Consolidated tables'!"&amp;VLOOKUP(AJ25,AO:AP,2,FALSE)&amp;":"&amp;VLOOKUP(AJ25,AO:AP,2,FALSE)))</f>
        <v>10.347663408851632</v>
      </c>
      <c r="AN25" s="1">
        <f ca="1">SUMIF('Consolidated tables'!B:B,'Maesbury Road example'!$T$15,INDIRECT("'Consolidated tables'!"&amp;VLOOKUP(AJ25,AO:AP,2,FALSE)&amp;":"&amp;VLOOKUP(AJ25,AO:AP,2,FALSE)))</f>
        <v>0</v>
      </c>
      <c r="AO25">
        <v>19</v>
      </c>
      <c r="AP25" t="s">
        <v>30</v>
      </c>
      <c r="AQ25" s="1"/>
    </row>
    <row r="26" spans="1:43">
      <c r="V26" s="1">
        <f t="shared" si="7"/>
        <v>2000</v>
      </c>
      <c r="W26" s="1">
        <f t="shared" ca="1" si="2"/>
        <v>551.51165771484477</v>
      </c>
      <c r="X26" s="1">
        <f t="shared" ca="1" si="3"/>
        <v>733.51050476074363</v>
      </c>
      <c r="Y26" s="1">
        <f t="shared" ca="1" si="4"/>
        <v>369.51281066894603</v>
      </c>
      <c r="Z26" s="1">
        <f t="shared" ca="1" si="5"/>
        <v>0</v>
      </c>
      <c r="AA26" t="b">
        <f t="shared" ca="1" si="8"/>
        <v>0</v>
      </c>
      <c r="AC26" s="1">
        <f t="shared" ca="1" si="1"/>
        <v>43239.616988159265</v>
      </c>
      <c r="AD26" s="1">
        <f t="shared" ca="1" si="6"/>
        <v>0</v>
      </c>
      <c r="AE26" s="1"/>
      <c r="AF26" s="1"/>
      <c r="AG26" s="1"/>
      <c r="AH26" s="1"/>
      <c r="AI26" s="1"/>
      <c r="AJ26">
        <v>26</v>
      </c>
      <c r="AK26">
        <f t="shared" si="0"/>
        <v>30</v>
      </c>
      <c r="AL26">
        <f ca="1">SUMIF('Consolidated tables'!B:B,'Maesbury Road example'!$T$10,INDIRECT("'Consolidated tables'!"&amp;VLOOKUP(AJ26,AO:AP,2,FALSE)&amp;":"&amp;VLOOKUP(AJ26,AO:AP,2,FALSE)))</f>
        <v>0.12166420936584479</v>
      </c>
      <c r="AM26" s="1">
        <f ca="1">SUMIF('Consolidated tables'!B:B,'Maesbury Road example'!$T$14,INDIRECT("'Consolidated tables'!"&amp;VLOOKUP(AJ26,AO:AP,2,FALSE)&amp;":"&amp;VLOOKUP(AJ26,AO:AP,2,FALSE)))</f>
        <v>9.5387173427009646</v>
      </c>
      <c r="AN26" s="1">
        <f ca="1">SUMIF('Consolidated tables'!B:B,'Maesbury Road example'!$T$15,INDIRECT("'Consolidated tables'!"&amp;VLOOKUP(AJ26,AO:AP,2,FALSE)&amp;":"&amp;VLOOKUP(AJ26,AO:AP,2,FALSE)))</f>
        <v>0</v>
      </c>
      <c r="AO26">
        <v>20</v>
      </c>
      <c r="AP26" t="s">
        <v>31</v>
      </c>
      <c r="AQ26" s="1"/>
    </row>
    <row r="27" spans="1:43">
      <c r="V27" s="1">
        <f t="shared" si="7"/>
        <v>2001</v>
      </c>
      <c r="W27" s="1">
        <f t="shared" ca="1" si="2"/>
        <v>506.48913574218722</v>
      </c>
      <c r="X27" s="1">
        <f t="shared" ca="1" si="3"/>
        <v>673.630550537109</v>
      </c>
      <c r="Y27" s="1">
        <f t="shared" ca="1" si="4"/>
        <v>339.34772094726543</v>
      </c>
      <c r="Z27" s="1">
        <f t="shared" ca="1" si="5"/>
        <v>0</v>
      </c>
      <c r="AA27" t="b">
        <f t="shared" ca="1" si="8"/>
        <v>0</v>
      </c>
      <c r="AC27" s="1">
        <f t="shared" ca="1" si="1"/>
        <v>39709.761220458968</v>
      </c>
      <c r="AD27" s="1">
        <f t="shared" ca="1" si="6"/>
        <v>0</v>
      </c>
      <c r="AE27" s="1"/>
      <c r="AF27" s="1"/>
      <c r="AG27" s="1"/>
      <c r="AH27" s="1"/>
      <c r="AI27" s="1"/>
      <c r="AJ27">
        <v>27</v>
      </c>
      <c r="AK27">
        <f t="shared" si="0"/>
        <v>30</v>
      </c>
      <c r="AL27">
        <f ca="1">SUMIF('Consolidated tables'!B:B,'Maesbury Road example'!$T$10,INDIRECT("'Consolidated tables'!"&amp;VLOOKUP(AJ27,AO:AP,2,FALSE)&amp;":"&amp;VLOOKUP(AJ27,AO:AP,2,FALSE)))</f>
        <v>0.1121735668182372</v>
      </c>
      <c r="AM27" s="1">
        <f ca="1">SUMIF('Consolidated tables'!B:B,'Maesbury Road example'!$T$14,INDIRECT("'Consolidated tables'!"&amp;VLOOKUP(AJ27,AO:AP,2,FALSE)&amp;":"&amp;VLOOKUP(AJ27,AO:AP,2,FALSE)))</f>
        <v>8.7946319856834343</v>
      </c>
      <c r="AN27" s="1">
        <f ca="1">SUMIF('Consolidated tables'!B:B,'Maesbury Road example'!$T$15,INDIRECT("'Consolidated tables'!"&amp;VLOOKUP(AJ27,AO:AP,2,FALSE)&amp;":"&amp;VLOOKUP(AJ27,AO:AP,2,FALSE)))</f>
        <v>0</v>
      </c>
      <c r="AO27">
        <v>21</v>
      </c>
      <c r="AP27" t="s">
        <v>32</v>
      </c>
      <c r="AQ27" s="1"/>
    </row>
    <row r="28" spans="1:43">
      <c r="V28" s="1">
        <f>V27+1</f>
        <v>2002</v>
      </c>
      <c r="W28" s="1">
        <f t="shared" ca="1" si="2"/>
        <v>465.3327941894529</v>
      </c>
      <c r="X28" s="1">
        <f t="shared" ca="1" si="3"/>
        <v>618.89261627197243</v>
      </c>
      <c r="Y28" s="1">
        <f t="shared" ca="1" si="4"/>
        <v>311.77297210693348</v>
      </c>
      <c r="Z28" s="1">
        <f t="shared" ca="1" si="5"/>
        <v>0</v>
      </c>
      <c r="AA28" t="b">
        <f t="shared" ca="1" si="8"/>
        <v>0</v>
      </c>
      <c r="AC28" s="1">
        <f t="shared" ca="1" si="1"/>
        <v>36483.021730041495</v>
      </c>
      <c r="AD28" s="1">
        <f t="shared" ca="1" si="6"/>
        <v>0</v>
      </c>
      <c r="AE28" s="1"/>
      <c r="AF28" s="1"/>
      <c r="AG28" s="1"/>
      <c r="AH28" s="1"/>
      <c r="AI28" s="1"/>
      <c r="AJ28">
        <v>28</v>
      </c>
      <c r="AK28">
        <f t="shared" si="0"/>
        <v>30</v>
      </c>
      <c r="AL28">
        <f ca="1">SUMIF('Consolidated tables'!B:B,'Maesbury Road example'!$T$10,INDIRECT("'Consolidated tables'!"&amp;VLOOKUP(AJ28,AO:AP,2,FALSE)&amp;":"&amp;VLOOKUP(AJ28,AO:AP,2,FALSE)))</f>
        <v>0.10344175338745121</v>
      </c>
      <c r="AM28" s="1">
        <f ca="1">SUMIF('Consolidated tables'!B:B,'Maesbury Road example'!$T$14,INDIRECT("'Consolidated tables'!"&amp;VLOOKUP(AJ28,AO:AP,2,FALSE)&amp;":"&amp;VLOOKUP(AJ28,AO:AP,2,FALSE)))</f>
        <v>8.1100403490829507</v>
      </c>
      <c r="AN28" s="1">
        <f ca="1">SUMIF('Consolidated tables'!B:B,'Maesbury Road example'!$T$15,INDIRECT("'Consolidated tables'!"&amp;VLOOKUP(AJ28,AO:AP,2,FALSE)&amp;":"&amp;VLOOKUP(AJ28,AO:AP,2,FALSE)))</f>
        <v>0</v>
      </c>
      <c r="AO28">
        <v>22</v>
      </c>
      <c r="AP28" t="s">
        <v>33</v>
      </c>
      <c r="AQ28" s="1"/>
    </row>
    <row r="29" spans="1:43">
      <c r="V29" s="1">
        <f t="shared" si="7"/>
        <v>2003</v>
      </c>
      <c r="W29" s="1">
        <f t="shared" ca="1" si="2"/>
        <v>427.66676330566418</v>
      </c>
      <c r="X29" s="1">
        <f t="shared" ca="1" si="3"/>
        <v>568.79679519653337</v>
      </c>
      <c r="Y29" s="1">
        <f t="shared" ca="1" si="4"/>
        <v>286.53673141479504</v>
      </c>
      <c r="Z29" s="1">
        <f t="shared" ca="1" si="5"/>
        <v>0</v>
      </c>
      <c r="AA29" t="b">
        <f t="shared" ca="1" si="8"/>
        <v>0</v>
      </c>
      <c r="AC29" s="1">
        <f t="shared" ca="1" si="1"/>
        <v>33529.929576690687</v>
      </c>
      <c r="AD29" s="1">
        <f t="shared" ca="1" si="6"/>
        <v>0</v>
      </c>
      <c r="AE29" s="1"/>
      <c r="AF29" s="1"/>
      <c r="AG29" s="1"/>
      <c r="AH29" s="1"/>
      <c r="AI29" s="1"/>
      <c r="AJ29">
        <v>29</v>
      </c>
      <c r="AK29">
        <f t="shared" si="0"/>
        <v>30</v>
      </c>
      <c r="AL29">
        <f ca="1">SUMIF('Consolidated tables'!B:B,'Maesbury Road example'!$T$10,INDIRECT("'Consolidated tables'!"&amp;VLOOKUP(AJ29,AO:AP,2,FALSE)&amp;":"&amp;VLOOKUP(AJ29,AO:AP,2,FALSE)))</f>
        <v>9.5406198501586811E-2</v>
      </c>
      <c r="AM29" s="1">
        <f ca="1">SUMIF('Consolidated tables'!B:B,'Maesbury Road example'!$T$14,INDIRECT("'Consolidated tables'!"&amp;VLOOKUP(AJ29,AO:AP,2,FALSE)&amp;":"&amp;VLOOKUP(AJ29,AO:AP,2,FALSE)))</f>
        <v>7.4800367749214089</v>
      </c>
      <c r="AN29" s="1">
        <f ca="1">SUMIF('Consolidated tables'!B:B,'Maesbury Road example'!$T$15,INDIRECT("'Consolidated tables'!"&amp;VLOOKUP(AJ29,AO:AP,2,FALSE)&amp;":"&amp;VLOOKUP(AJ29,AO:AP,2,FALSE)))</f>
        <v>0</v>
      </c>
      <c r="AO29">
        <v>23</v>
      </c>
      <c r="AP29" t="s">
        <v>34</v>
      </c>
      <c r="AQ29" s="1"/>
    </row>
    <row r="30" spans="1:43">
      <c r="V30" s="1">
        <f t="shared" si="7"/>
        <v>2004</v>
      </c>
      <c r="W30" s="1">
        <f t="shared" ca="1" si="2"/>
        <v>393.16790771484386</v>
      </c>
      <c r="X30" s="1">
        <f t="shared" ca="1" si="3"/>
        <v>522.91331726074236</v>
      </c>
      <c r="Y30" s="1">
        <f t="shared" ca="1" si="4"/>
        <v>263.42249816894542</v>
      </c>
      <c r="Z30" s="1">
        <f t="shared" ca="1" si="5"/>
        <v>0</v>
      </c>
      <c r="AA30" t="b">
        <f t="shared" ca="1" si="8"/>
        <v>0</v>
      </c>
      <c r="AC30" s="1">
        <f t="shared" ca="1" si="1"/>
        <v>30825.150300659188</v>
      </c>
      <c r="AD30" s="1">
        <f t="shared" ca="1" si="6"/>
        <v>0</v>
      </c>
      <c r="AE30" s="1"/>
      <c r="AF30" s="1"/>
      <c r="AG30" s="1"/>
      <c r="AH30" s="1"/>
      <c r="AI30" s="1"/>
      <c r="AJ30">
        <v>30</v>
      </c>
      <c r="AK30">
        <f t="shared" si="0"/>
        <v>30</v>
      </c>
      <c r="AL30">
        <f ca="1">SUMIF('Consolidated tables'!B:B,'Maesbury Road example'!$T$10,INDIRECT("'Consolidated tables'!"&amp;VLOOKUP(AJ30,AO:AP,2,FALSE)&amp;":"&amp;VLOOKUP(AJ30,AO:AP,2,FALSE)))</f>
        <v>8.80096721649168E-2</v>
      </c>
      <c r="AM30" s="1">
        <f ca="1">SUMIF('Consolidated tables'!B:B,'Maesbury Road example'!$T$14,INDIRECT("'Consolidated tables'!"&amp;VLOOKUP(AJ30,AO:AP,2,FALSE)&amp;":"&amp;VLOOKUP(AJ30,AO:AP,2,FALSE)))</f>
        <v>6.9001343170738068</v>
      </c>
      <c r="AN30" s="1">
        <f ca="1">SUMIF('Consolidated tables'!B:B,'Maesbury Road example'!$T$15,INDIRECT("'Consolidated tables'!"&amp;VLOOKUP(AJ30,AO:AP,2,FALSE)&amp;":"&amp;VLOOKUP(AJ30,AO:AP,2,FALSE)))</f>
        <v>0</v>
      </c>
      <c r="AO30">
        <v>24</v>
      </c>
      <c r="AP30" t="s">
        <v>35</v>
      </c>
      <c r="AQ30" s="1"/>
    </row>
    <row r="31" spans="1:43">
      <c r="V31" s="1">
        <f t="shared" si="7"/>
        <v>2005</v>
      </c>
      <c r="W31" s="1">
        <f t="shared" ca="1" si="2"/>
        <v>361.55197906494146</v>
      </c>
      <c r="X31" s="1">
        <f t="shared" ca="1" si="3"/>
        <v>480.86413215637219</v>
      </c>
      <c r="Y31" s="1">
        <f t="shared" ca="1" si="4"/>
        <v>242.23982597351079</v>
      </c>
      <c r="Z31" s="1">
        <f t="shared" ca="1" si="5"/>
        <v>0</v>
      </c>
      <c r="AA31" t="b">
        <f t="shared" ca="1" si="8"/>
        <v>0</v>
      </c>
      <c r="AC31" s="1">
        <f t="shared" ca="1" si="1"/>
        <v>28346.398262649542</v>
      </c>
      <c r="AD31" s="1">
        <f t="shared" ca="1" si="6"/>
        <v>0</v>
      </c>
      <c r="AE31" s="1"/>
      <c r="AF31" s="1"/>
      <c r="AG31" s="1"/>
      <c r="AH31" s="1"/>
      <c r="AI31" s="1"/>
      <c r="AJ31">
        <v>31</v>
      </c>
      <c r="AK31">
        <f t="shared" si="0"/>
        <v>35</v>
      </c>
      <c r="AL31">
        <f ca="1">SUMIF('Consolidated tables'!B:B,'Maesbury Road example'!$T$10,INDIRECT("'Consolidated tables'!"&amp;VLOOKUP(AJ31,AO:AP,2,FALSE)&amp;":"&amp;VLOOKUP(AJ31,AO:AP,2,FALSE)))</f>
        <v>8.1199836730957195E-2</v>
      </c>
      <c r="AM31" s="1">
        <f ca="1">SUMIF('Consolidated tables'!B:B,'Maesbury Road example'!$T$14,INDIRECT("'Consolidated tables'!"&amp;VLOOKUP(AJ31,AO:AP,2,FALSE)&amp;":"&amp;VLOOKUP(AJ31,AO:AP,2,FALSE)))</f>
        <v>6.3662295993805058</v>
      </c>
      <c r="AN31" s="1">
        <f ca="1">SUMIF('Consolidated tables'!B:B,'Maesbury Road example'!$T$15,INDIRECT("'Consolidated tables'!"&amp;VLOOKUP(AJ31,AO:AP,2,FALSE)&amp;":"&amp;VLOOKUP(AJ31,AO:AP,2,FALSE)))</f>
        <v>0</v>
      </c>
      <c r="AO31">
        <v>25</v>
      </c>
      <c r="AP31" t="s">
        <v>36</v>
      </c>
      <c r="AQ31" s="1"/>
    </row>
    <row r="32" spans="1:43">
      <c r="V32" s="1">
        <f t="shared" si="7"/>
        <v>2006</v>
      </c>
      <c r="W32" s="1">
        <f t="shared" ca="1" si="2"/>
        <v>332.56491851806658</v>
      </c>
      <c r="X32" s="1">
        <f t="shared" ca="1" si="3"/>
        <v>442.31134162902856</v>
      </c>
      <c r="Y32" s="1">
        <f t="shared" ca="1" si="4"/>
        <v>222.81849540710462</v>
      </c>
      <c r="Z32" s="1">
        <f t="shared" ca="1" si="5"/>
        <v>0</v>
      </c>
      <c r="AA32" t="b">
        <f t="shared" ca="1" si="8"/>
        <v>0</v>
      </c>
      <c r="AC32" s="1">
        <f t="shared" ca="1" si="1"/>
        <v>26073.754741653458</v>
      </c>
      <c r="AD32" s="1">
        <f t="shared" ca="1" si="6"/>
        <v>0</v>
      </c>
      <c r="AE32" s="1"/>
      <c r="AF32" s="1"/>
      <c r="AG32" s="1"/>
      <c r="AH32" s="1"/>
      <c r="AI32" s="1"/>
      <c r="AJ32">
        <v>32</v>
      </c>
      <c r="AK32">
        <f t="shared" si="0"/>
        <v>35</v>
      </c>
      <c r="AL32">
        <f ca="1">SUMIF('Consolidated tables'!B:B,'Maesbury Road example'!$T$10,INDIRECT("'Consolidated tables'!"&amp;VLOOKUP(AJ32,AO:AP,2,FALSE)&amp;":"&amp;VLOOKUP(AJ32,AO:AP,2,FALSE)))</f>
        <v>7.4928774833679199E-2</v>
      </c>
      <c r="AM32" s="1">
        <f ca="1">SUMIF('Consolidated tables'!B:B,'Maesbury Road example'!$T$14,INDIRECT("'Consolidated tables'!"&amp;VLOOKUP(AJ32,AO:AP,2,FALSE)&amp;":"&amp;VLOOKUP(AJ32,AO:AP,2,FALSE)))</f>
        <v>5.8745658045101168</v>
      </c>
      <c r="AN32" s="1">
        <f ca="1">SUMIF('Consolidated tables'!B:B,'Maesbury Road example'!$T$15,INDIRECT("'Consolidated tables'!"&amp;VLOOKUP(AJ32,AO:AP,2,FALSE)&amp;":"&amp;VLOOKUP(AJ32,AO:AP,2,FALSE)))</f>
        <v>0</v>
      </c>
      <c r="AO32">
        <v>26</v>
      </c>
      <c r="AP32" t="s">
        <v>37</v>
      </c>
      <c r="AQ32" s="1"/>
    </row>
    <row r="33" spans="1:43">
      <c r="V33" s="1">
        <f t="shared" si="7"/>
        <v>2007</v>
      </c>
      <c r="W33" s="1">
        <f t="shared" ca="1" si="2"/>
        <v>305.97793579101551</v>
      </c>
      <c r="X33" s="1">
        <f t="shared" ca="1" si="3"/>
        <v>406.95065460205063</v>
      </c>
      <c r="Y33" s="1">
        <f t="shared" ca="1" si="4"/>
        <v>205.00521697998042</v>
      </c>
      <c r="Z33" s="1">
        <f t="shared" ca="1" si="5"/>
        <v>0</v>
      </c>
      <c r="AA33" t="b">
        <f t="shared" ca="1" si="8"/>
        <v>0</v>
      </c>
      <c r="AC33" s="1">
        <f t="shared" ca="1" si="1"/>
        <v>23989.282121887201</v>
      </c>
      <c r="AD33" s="1">
        <f t="shared" ca="1" si="6"/>
        <v>0</v>
      </c>
      <c r="AE33" s="1"/>
      <c r="AF33" s="1"/>
      <c r="AG33" s="1"/>
      <c r="AH33" s="1"/>
      <c r="AI33" s="1"/>
      <c r="AJ33">
        <v>33</v>
      </c>
      <c r="AK33">
        <f t="shared" si="0"/>
        <v>35</v>
      </c>
      <c r="AL33">
        <f ca="1">SUMIF('Consolidated tables'!B:B,'Maesbury Road example'!$T$10,INDIRECT("'Consolidated tables'!"&amp;VLOOKUP(AJ33,AO:AP,2,FALSE)&amp;":"&amp;VLOOKUP(AJ33,AO:AP,2,FALSE)))</f>
        <v>6.9152641296386805E-2</v>
      </c>
      <c r="AM33" s="1">
        <f ca="1">SUMIF('Consolidated tables'!B:B,'Maesbury Road example'!$T$14,INDIRECT("'Consolidated tables'!"&amp;VLOOKUP(AJ33,AO:AP,2,FALSE)&amp;":"&amp;VLOOKUP(AJ33,AO:AP,2,FALSE)))</f>
        <v>5.4217053829193178</v>
      </c>
      <c r="AN33" s="1">
        <f ca="1">SUMIF('Consolidated tables'!B:B,'Maesbury Road example'!$T$15,INDIRECT("'Consolidated tables'!"&amp;VLOOKUP(AJ33,AO:AP,2,FALSE)&amp;":"&amp;VLOOKUP(AJ33,AO:AP,2,FALSE)))</f>
        <v>0</v>
      </c>
      <c r="AO33">
        <v>27</v>
      </c>
      <c r="AP33" t="s">
        <v>38</v>
      </c>
      <c r="AQ33" s="1"/>
    </row>
    <row r="34" spans="1:43">
      <c r="V34" s="1">
        <f t="shared" si="7"/>
        <v>2008</v>
      </c>
      <c r="W34" s="1">
        <f t="shared" ca="1" si="2"/>
        <v>281.5838928222658</v>
      </c>
      <c r="X34" s="1">
        <f t="shared" ca="1" si="3"/>
        <v>374.50657745361355</v>
      </c>
      <c r="Y34" s="1">
        <f t="shared" ca="1" si="4"/>
        <v>188.6612081909181</v>
      </c>
      <c r="Z34" s="1">
        <f t="shared" ca="1" si="5"/>
        <v>0</v>
      </c>
      <c r="AA34" t="b">
        <f t="shared" ca="1" si="8"/>
        <v>0</v>
      </c>
      <c r="AC34" s="1">
        <f t="shared" ca="1" si="1"/>
        <v>22076.740365051282</v>
      </c>
      <c r="AD34" s="1">
        <f t="shared" ca="1" si="6"/>
        <v>0</v>
      </c>
      <c r="AE34" s="1"/>
      <c r="AF34" s="1"/>
      <c r="AG34" s="1"/>
      <c r="AH34" s="1"/>
      <c r="AI34" s="1"/>
      <c r="AJ34">
        <v>34</v>
      </c>
      <c r="AK34">
        <f t="shared" si="0"/>
        <v>35</v>
      </c>
      <c r="AL34">
        <f ca="1">SUMIF('Consolidated tables'!B:B,'Maesbury Road example'!$T$10,INDIRECT("'Consolidated tables'!"&amp;VLOOKUP(AJ34,AO:AP,2,FALSE)&amp;":"&amp;VLOOKUP(AJ34,AO:AP,2,FALSE)))</f>
        <v>6.3831267356872404E-2</v>
      </c>
      <c r="AM34" s="1">
        <f ca="1">SUMIF('Consolidated tables'!B:B,'Maesbury Road example'!$T$14,INDIRECT("'Consolidated tables'!"&amp;VLOOKUP(AJ34,AO:AP,2,FALSE)&amp;":"&amp;VLOOKUP(AJ34,AO:AP,2,FALSE)))</f>
        <v>5.0044990233135103</v>
      </c>
      <c r="AN34" s="1">
        <f ca="1">SUMIF('Consolidated tables'!B:B,'Maesbury Road example'!$T$15,INDIRECT("'Consolidated tables'!"&amp;VLOOKUP(AJ34,AO:AP,2,FALSE)&amp;":"&amp;VLOOKUP(AJ34,AO:AP,2,FALSE)))</f>
        <v>0</v>
      </c>
      <c r="AO34">
        <v>28</v>
      </c>
      <c r="AP34" t="s">
        <v>39</v>
      </c>
      <c r="AQ34" s="1"/>
    </row>
    <row r="35" spans="1:43">
      <c r="V35" s="1">
        <f t="shared" si="7"/>
        <v>2009</v>
      </c>
      <c r="W35" s="1">
        <f t="shared" ca="1" si="2"/>
        <v>259.19480895996099</v>
      </c>
      <c r="X35" s="1">
        <f t="shared" ca="1" si="3"/>
        <v>344.72909591674812</v>
      </c>
      <c r="Y35" s="1">
        <f t="shared" ca="1" si="4"/>
        <v>173.66052200317387</v>
      </c>
      <c r="Z35" s="1">
        <f t="shared" ca="1" si="5"/>
        <v>0</v>
      </c>
      <c r="AA35" t="b">
        <f t="shared" ca="1" si="8"/>
        <v>0</v>
      </c>
      <c r="AC35" s="1">
        <f t="shared" ca="1" si="1"/>
        <v>20321.391412078858</v>
      </c>
      <c r="AD35" s="1">
        <f t="shared" ca="1" si="6"/>
        <v>0</v>
      </c>
      <c r="AE35" s="1"/>
      <c r="AF35" s="1"/>
      <c r="AG35" s="1"/>
      <c r="AH35" s="1"/>
      <c r="AI35" s="1"/>
      <c r="AJ35">
        <v>35</v>
      </c>
      <c r="AK35">
        <f t="shared" si="0"/>
        <v>35</v>
      </c>
      <c r="AL35">
        <f ca="1">SUMIF('Consolidated tables'!B:B,'Maesbury Road example'!$T$10,INDIRECT("'Consolidated tables'!"&amp;VLOOKUP(AJ35,AO:AP,2,FALSE)&amp;":"&amp;VLOOKUP(AJ35,AO:AP,2,FALSE)))</f>
        <v>5.8927869796752796E-2</v>
      </c>
      <c r="AM35" s="1">
        <f ca="1">SUMIF('Consolidated tables'!B:B,'Maesbury Road example'!$T$14,INDIRECT("'Consolidated tables'!"&amp;VLOOKUP(AJ35,AO:AP,2,FALSE)&amp;":"&amp;VLOOKUP(AJ35,AO:AP,2,FALSE)))</f>
        <v>4.6200628478050119</v>
      </c>
      <c r="AN35" s="1">
        <f ca="1">SUMIF('Consolidated tables'!B:B,'Maesbury Road example'!$T$15,INDIRECT("'Consolidated tables'!"&amp;VLOOKUP(AJ35,AO:AP,2,FALSE)&amp;":"&amp;VLOOKUP(AJ35,AO:AP,2,FALSE)))</f>
        <v>0</v>
      </c>
      <c r="AO35">
        <v>29</v>
      </c>
      <c r="AP35" t="s">
        <v>40</v>
      </c>
      <c r="AQ35" s="1"/>
    </row>
    <row r="36" spans="1:43">
      <c r="V36" s="1">
        <f t="shared" si="7"/>
        <v>2010</v>
      </c>
      <c r="W36" s="1">
        <f t="shared" ca="1" si="2"/>
        <v>238.63959503173822</v>
      </c>
      <c r="X36" s="1">
        <f t="shared" ca="1" si="3"/>
        <v>317.39066139221188</v>
      </c>
      <c r="Y36" s="1">
        <f t="shared" ca="1" si="4"/>
        <v>159.88852867126462</v>
      </c>
      <c r="Z36" s="1">
        <f t="shared" ca="1" si="5"/>
        <v>0</v>
      </c>
      <c r="AA36" t="b">
        <f t="shared" ca="1" si="8"/>
        <v>0</v>
      </c>
      <c r="AC36" s="1">
        <f t="shared" ca="1" si="1"/>
        <v>18709.821529678342</v>
      </c>
      <c r="AD36" s="1">
        <f t="shared" ca="1" si="6"/>
        <v>0</v>
      </c>
      <c r="AE36" s="1"/>
      <c r="AF36" s="1"/>
      <c r="AG36" s="1"/>
      <c r="AH36" s="1"/>
      <c r="AI36" s="1"/>
      <c r="AJ36">
        <v>36</v>
      </c>
      <c r="AK36">
        <f t="shared" si="0"/>
        <v>40</v>
      </c>
      <c r="AL36">
        <f ca="1">SUMIF('Consolidated tables'!B:B,'Maesbury Road example'!$T$10,INDIRECT("'Consolidated tables'!"&amp;VLOOKUP(AJ36,AO:AP,2,FALSE)&amp;":"&amp;VLOOKUP(AJ36,AO:AP,2,FALSE)))</f>
        <v>5.4408726692199601E-2</v>
      </c>
      <c r="AM36" s="1">
        <f ca="1">SUMIF('Consolidated tables'!B:B,'Maesbury Road example'!$T$14,INDIRECT("'Consolidated tables'!"&amp;VLOOKUP(AJ36,AO:AP,2,FALSE)&amp;":"&amp;VLOOKUP(AJ36,AO:AP,2,FALSE)))</f>
        <v>4.2657529901218325</v>
      </c>
      <c r="AN36" s="1">
        <f ca="1">SUMIF('Consolidated tables'!B:B,'Maesbury Road example'!$T$15,INDIRECT("'Consolidated tables'!"&amp;VLOOKUP(AJ36,AO:AP,2,FALSE)&amp;":"&amp;VLOOKUP(AJ36,AO:AP,2,FALSE)))</f>
        <v>0</v>
      </c>
      <c r="AO36">
        <v>30</v>
      </c>
      <c r="AP36" t="s">
        <v>41</v>
      </c>
      <c r="AQ36" s="1"/>
    </row>
    <row r="37" spans="1:43" ht="24.95" customHeight="1">
      <c r="A37" s="32" t="s">
        <v>92</v>
      </c>
      <c r="D37" s="1"/>
      <c r="V37" s="1">
        <f t="shared" si="7"/>
        <v>2011</v>
      </c>
      <c r="W37" s="1">
        <f t="shared" ca="1" si="2"/>
        <v>219.7625656127928</v>
      </c>
      <c r="X37" s="1">
        <f t="shared" ca="1" si="3"/>
        <v>292.28421226501445</v>
      </c>
      <c r="Y37" s="1">
        <f t="shared" ca="1" si="4"/>
        <v>147.24091896057118</v>
      </c>
      <c r="Z37" s="1">
        <f t="shared" ca="1" si="5"/>
        <v>0</v>
      </c>
      <c r="AA37" t="b">
        <f t="shared" ca="1" si="8"/>
        <v>0</v>
      </c>
      <c r="AC37" s="1">
        <f t="shared" ca="1" si="1"/>
        <v>17229.824669174184</v>
      </c>
      <c r="AD37" s="1">
        <f t="shared" ca="1" si="6"/>
        <v>0</v>
      </c>
      <c r="AE37" s="1"/>
      <c r="AF37" s="1"/>
      <c r="AG37" s="1"/>
      <c r="AH37" s="1"/>
      <c r="AI37" s="1"/>
      <c r="AJ37">
        <v>37</v>
      </c>
      <c r="AK37">
        <f t="shared" si="0"/>
        <v>40</v>
      </c>
      <c r="AL37">
        <f ca="1">SUMIF('Consolidated tables'!B:B,'Maesbury Road example'!$T$10,INDIRECT("'Consolidated tables'!"&amp;VLOOKUP(AJ37,AO:AP,2,FALSE)&amp;":"&amp;VLOOKUP(AJ37,AO:AP,2,FALSE)))</f>
        <v>5.0242938995361204E-2</v>
      </c>
      <c r="AM37" s="1">
        <f ca="1">SUMIF('Consolidated tables'!B:B,'Maesbury Road example'!$T$14,INDIRECT("'Consolidated tables'!"&amp;VLOOKUP(AJ37,AO:AP,2,FALSE)&amp;":"&amp;VLOOKUP(AJ37,AO:AP,2,FALSE)))</f>
        <v>3.9391469031143087</v>
      </c>
      <c r="AN37" s="1">
        <f ca="1">SUMIF('Consolidated tables'!B:B,'Maesbury Road example'!$T$15,INDIRECT("'Consolidated tables'!"&amp;VLOOKUP(AJ37,AO:AP,2,FALSE)&amp;":"&amp;VLOOKUP(AJ37,AO:AP,2,FALSE)))</f>
        <v>0</v>
      </c>
      <c r="AO37">
        <v>31</v>
      </c>
      <c r="AP37" t="s">
        <v>42</v>
      </c>
      <c r="AQ37" s="1"/>
    </row>
    <row r="38" spans="1:43" ht="24.95" customHeight="1" thickBot="1">
      <c r="D38" s="11"/>
      <c r="V38" s="1">
        <f t="shared" si="7"/>
        <v>2012</v>
      </c>
      <c r="W38" s="1">
        <f t="shared" ca="1" si="2"/>
        <v>202.42179107666013</v>
      </c>
      <c r="X38" s="1">
        <f t="shared" ca="1" si="3"/>
        <v>269.22098213195801</v>
      </c>
      <c r="Y38" s="1">
        <f t="shared" ca="1" si="4"/>
        <v>135.6226000213623</v>
      </c>
      <c r="Z38" s="1">
        <f t="shared" ca="1" si="5"/>
        <v>0</v>
      </c>
      <c r="AA38" t="b">
        <f t="shared" ca="1" si="8"/>
        <v>0</v>
      </c>
      <c r="AC38" s="1">
        <f t="shared" ca="1" si="1"/>
        <v>15870.273263992309</v>
      </c>
      <c r="AD38" s="1">
        <f t="shared" ca="1" si="6"/>
        <v>0</v>
      </c>
      <c r="AE38" s="1"/>
      <c r="AF38" s="1"/>
      <c r="AG38" s="1"/>
      <c r="AH38" s="1"/>
      <c r="AI38" s="1"/>
      <c r="AJ38">
        <v>38</v>
      </c>
      <c r="AK38">
        <f t="shared" si="0"/>
        <v>40</v>
      </c>
      <c r="AL38">
        <f ca="1">SUMIF('Consolidated tables'!B:B,'Maesbury Road example'!$T$10,INDIRECT("'Consolidated tables'!"&amp;VLOOKUP(AJ38,AO:AP,2,FALSE)&amp;":"&amp;VLOOKUP(AJ38,AO:AP,2,FALSE)))</f>
        <v>4.6402163505554005E-2</v>
      </c>
      <c r="AM38" s="1">
        <f ca="1">SUMIF('Consolidated tables'!B:B,'Maesbury Road example'!$T$14,INDIRECT("'Consolidated tables'!"&amp;VLOOKUP(AJ38,AO:AP,2,FALSE)&amp;":"&amp;VLOOKUP(AJ38,AO:AP,2,FALSE)))</f>
        <v>3.638022423162445</v>
      </c>
      <c r="AN38" s="1">
        <f ca="1">SUMIF('Consolidated tables'!B:B,'Maesbury Road example'!$T$15,INDIRECT("'Consolidated tables'!"&amp;VLOOKUP(AJ38,AO:AP,2,FALSE)&amp;":"&amp;VLOOKUP(AJ38,AO:AP,2,FALSE)))</f>
        <v>0</v>
      </c>
      <c r="AO38">
        <v>32</v>
      </c>
      <c r="AP38" t="s">
        <v>43</v>
      </c>
      <c r="AQ38" s="1"/>
    </row>
    <row r="39" spans="1:43" ht="24.95" customHeight="1" thickBot="1">
      <c r="A39" s="37" t="s">
        <v>100</v>
      </c>
      <c r="B39" s="71" t="s">
        <v>5</v>
      </c>
      <c r="C39" s="36"/>
      <c r="D39" s="72">
        <f>D6-D4</f>
        <v>19</v>
      </c>
      <c r="E39" s="36" t="s">
        <v>69</v>
      </c>
      <c r="H39" s="2"/>
      <c r="I39" s="2"/>
      <c r="J39" s="2"/>
      <c r="K39" s="2"/>
      <c r="L39" s="2"/>
      <c r="M39" s="2"/>
      <c r="N39" s="2"/>
      <c r="O39" s="2"/>
      <c r="P39" s="2"/>
      <c r="V39" s="1">
        <f t="shared" si="7"/>
        <v>2013</v>
      </c>
      <c r="W39" s="1">
        <f t="shared" ca="1" si="2"/>
        <v>186.48785018920896</v>
      </c>
      <c r="X39" s="1">
        <f t="shared" ca="1" si="3"/>
        <v>248.02884075164792</v>
      </c>
      <c r="Y39" s="1">
        <f t="shared" ca="1" si="4"/>
        <v>124.94685962677001</v>
      </c>
      <c r="Z39" s="1">
        <f t="shared" ca="1" si="5"/>
        <v>0</v>
      </c>
      <c r="AA39" t="b">
        <f t="shared" ca="1" si="8"/>
        <v>0</v>
      </c>
      <c r="AC39" s="1">
        <f t="shared" ca="1" si="1"/>
        <v>14621.020430534363</v>
      </c>
      <c r="AD39" s="1">
        <f t="shared" ca="1" si="6"/>
        <v>0</v>
      </c>
      <c r="AE39" s="1"/>
      <c r="AF39" s="1"/>
      <c r="AG39" s="1"/>
      <c r="AH39" s="1"/>
      <c r="AI39" s="1"/>
      <c r="AJ39">
        <v>39</v>
      </c>
      <c r="AK39">
        <f t="shared" si="0"/>
        <v>40</v>
      </c>
      <c r="AL39">
        <f ca="1">SUMIF('Consolidated tables'!B:B,'Maesbury Road example'!$T$10,INDIRECT("'Consolidated tables'!"&amp;VLOOKUP(AJ39,AO:AP,2,FALSE)&amp;":"&amp;VLOOKUP(AJ39,AO:AP,2,FALSE)))</f>
        <v>4.2860412597656404E-2</v>
      </c>
      <c r="AM39" s="1">
        <f ca="1">SUMIF('Consolidated tables'!B:B,'Maesbury Road example'!$T$14,INDIRECT("'Consolidated tables'!"&amp;VLOOKUP(AJ39,AO:AP,2,FALSE)&amp;":"&amp;VLOOKUP(AJ39,AO:AP,2,FALSE)))</f>
        <v>3.3603420684814567</v>
      </c>
      <c r="AN39" s="1">
        <f ca="1">SUMIF('Consolidated tables'!B:B,'Maesbury Road example'!$T$15,INDIRECT("'Consolidated tables'!"&amp;VLOOKUP(AJ39,AO:AP,2,FALSE)&amp;":"&amp;VLOOKUP(AJ39,AO:AP,2,FALSE)))</f>
        <v>0</v>
      </c>
      <c r="AO39">
        <v>33</v>
      </c>
      <c r="AP39" t="s">
        <v>44</v>
      </c>
      <c r="AQ39" s="1"/>
    </row>
    <row r="40" spans="1:43" ht="24.95" customHeight="1" thickBot="1">
      <c r="A40" s="36"/>
      <c r="B40" s="36"/>
      <c r="C40" s="36"/>
      <c r="D40" s="35"/>
      <c r="E40" s="36"/>
      <c r="H40" s="2"/>
      <c r="I40" s="2"/>
      <c r="J40" s="2"/>
      <c r="K40" s="2"/>
      <c r="L40" s="2"/>
      <c r="M40" s="2"/>
      <c r="N40" s="2"/>
      <c r="O40" s="2"/>
      <c r="P40" s="2"/>
      <c r="V40" s="1">
        <f t="shared" si="7"/>
        <v>2014</v>
      </c>
      <c r="W40" s="1">
        <f t="shared" ca="1" si="2"/>
        <v>171.84269714355455</v>
      </c>
      <c r="X40" s="1">
        <f t="shared" ca="1" si="3"/>
        <v>228.55078720092754</v>
      </c>
      <c r="Y40" s="1">
        <f t="shared" ca="1" si="4"/>
        <v>115.13460708618155</v>
      </c>
      <c r="Z40" s="1">
        <f t="shared" ca="1" si="5"/>
        <v>0</v>
      </c>
      <c r="AA40" t="b">
        <f t="shared" ca="1" si="8"/>
        <v>0</v>
      </c>
      <c r="AC40" s="1">
        <f t="shared" ca="1" si="1"/>
        <v>13472.811141448963</v>
      </c>
      <c r="AD40" s="1">
        <f t="shared" ca="1" si="6"/>
        <v>0</v>
      </c>
      <c r="AE40" s="1"/>
      <c r="AF40" s="1"/>
      <c r="AG40" s="1"/>
      <c r="AH40" s="1"/>
      <c r="AI40" s="1"/>
      <c r="AJ40">
        <v>40</v>
      </c>
      <c r="AK40">
        <f t="shared" si="0"/>
        <v>40</v>
      </c>
      <c r="AL40">
        <f ca="1">SUMIF('Consolidated tables'!B:B,'Maesbury Road example'!$T$10,INDIRECT("'Consolidated tables'!"&amp;VLOOKUP(AJ40,AO:AP,2,FALSE)&amp;":"&amp;VLOOKUP(AJ40,AO:AP,2,FALSE)))</f>
        <v>3.9593837261199957E-2</v>
      </c>
      <c r="AM40" s="1">
        <f ca="1">SUMIF('Consolidated tables'!B:B,'Maesbury Road example'!$T$14,INDIRECT("'Consolidated tables'!"&amp;VLOOKUP(AJ40,AO:AP,2,FALSE)&amp;":"&amp;VLOOKUP(AJ40,AO:AP,2,FALSE)))</f>
        <v>3.1042360289525992</v>
      </c>
      <c r="AN40" s="1">
        <f ca="1">SUMIF('Consolidated tables'!B:B,'Maesbury Road example'!$T$15,INDIRECT("'Consolidated tables'!"&amp;VLOOKUP(AJ40,AO:AP,2,FALSE)&amp;":"&amp;VLOOKUP(AJ40,AO:AP,2,FALSE)))</f>
        <v>0</v>
      </c>
      <c r="AO40">
        <v>34</v>
      </c>
      <c r="AP40" t="s">
        <v>45</v>
      </c>
      <c r="AQ40" s="1"/>
    </row>
    <row r="41" spans="1:43" ht="24.95" customHeight="1" thickBot="1">
      <c r="A41" s="37" t="s">
        <v>101</v>
      </c>
      <c r="B41" s="71" t="s">
        <v>73</v>
      </c>
      <c r="C41" s="36"/>
      <c r="D41" s="72">
        <f ca="1">VLOOKUP(D2,V:W,2,FALSE)</f>
        <v>158.37856292724624</v>
      </c>
      <c r="E41" s="36" t="s">
        <v>105</v>
      </c>
      <c r="F41" s="52"/>
      <c r="G41" s="50"/>
      <c r="H41" s="51"/>
      <c r="I41" s="13"/>
      <c r="J41" s="13"/>
      <c r="K41" s="13"/>
      <c r="L41" s="13"/>
      <c r="M41" s="13"/>
      <c r="N41" s="13"/>
      <c r="O41" s="13"/>
      <c r="P41" s="13"/>
      <c r="V41" s="1">
        <f t="shared" si="7"/>
        <v>2015</v>
      </c>
      <c r="W41" s="1">
        <f t="shared" ca="1" si="2"/>
        <v>158.37856292724624</v>
      </c>
      <c r="X41" s="1">
        <f t="shared" ca="1" si="3"/>
        <v>210.64348869323752</v>
      </c>
      <c r="Y41" s="1">
        <f t="shared" ca="1" si="4"/>
        <v>106.11363716125499</v>
      </c>
      <c r="Z41" s="1">
        <f t="shared" ca="1" si="5"/>
        <v>1</v>
      </c>
      <c r="AA41" t="b">
        <f t="shared" ca="1" si="8"/>
        <v>1</v>
      </c>
      <c r="AC41" s="1">
        <f t="shared" ca="1" si="1"/>
        <v>12417.196090621959</v>
      </c>
      <c r="AD41" s="1">
        <f t="shared" ca="1" si="6"/>
        <v>12417.196090621959</v>
      </c>
      <c r="AE41" s="1"/>
      <c r="AF41" s="1"/>
      <c r="AG41" s="1"/>
      <c r="AH41" s="1"/>
      <c r="AI41" s="1"/>
      <c r="AJ41">
        <v>41</v>
      </c>
      <c r="AK41">
        <f t="shared" si="0"/>
        <v>45</v>
      </c>
      <c r="AL41">
        <f ca="1">SUMIF('Consolidated tables'!B:B,'Maesbury Road example'!$T$10,INDIRECT("'Consolidated tables'!"&amp;VLOOKUP(AJ41,AO:AP,2,FALSE)&amp;":"&amp;VLOOKUP(AJ41,AO:AP,2,FALSE)))</f>
        <v>3.6580548286438003E-2</v>
      </c>
      <c r="AM41" s="1">
        <f ca="1">SUMIF('Consolidated tables'!B:B,'Maesbury Road example'!$T$14,INDIRECT("'Consolidated tables'!"&amp;VLOOKUP(AJ41,AO:AP,2,FALSE)&amp;":"&amp;VLOOKUP(AJ41,AO:AP,2,FALSE)))</f>
        <v>2.8679881467533122</v>
      </c>
      <c r="AN41" s="1">
        <f ca="1">SUMIF('Consolidated tables'!B:B,'Maesbury Road example'!$T$15,INDIRECT("'Consolidated tables'!"&amp;VLOOKUP(AJ41,AO:AP,2,FALSE)&amp;":"&amp;VLOOKUP(AJ41,AO:AP,2,FALSE)))</f>
        <v>0</v>
      </c>
      <c r="AO41">
        <v>35</v>
      </c>
      <c r="AP41" t="s">
        <v>46</v>
      </c>
      <c r="AQ41" s="1"/>
    </row>
    <row r="42" spans="1:43" s="20" customFormat="1" ht="24.95" customHeight="1">
      <c r="A42" s="45"/>
      <c r="B42" s="46"/>
      <c r="D42" s="47"/>
      <c r="F42" s="48"/>
      <c r="H42" s="49"/>
      <c r="I42" s="49"/>
      <c r="J42" s="49"/>
      <c r="K42" s="49"/>
      <c r="L42" s="49"/>
      <c r="M42" s="49"/>
      <c r="N42" s="49"/>
      <c r="O42" s="49"/>
      <c r="P42" s="49"/>
      <c r="V42" s="1">
        <f t="shared" si="7"/>
        <v>2016</v>
      </c>
      <c r="W42" s="1">
        <f t="shared" ca="1" si="2"/>
        <v>145.99705123901376</v>
      </c>
      <c r="X42" s="1">
        <f t="shared" ca="1" si="3"/>
        <v>194.17607814788832</v>
      </c>
      <c r="Y42" s="1">
        <f t="shared" ca="1" si="4"/>
        <v>97.818024330139224</v>
      </c>
      <c r="Z42" s="1">
        <f t="shared" ca="1" si="5"/>
        <v>0</v>
      </c>
      <c r="AA42" t="b">
        <f t="shared" ca="1" si="8"/>
        <v>1</v>
      </c>
      <c r="AB42"/>
      <c r="AC42" s="1">
        <f t="shared" ca="1" si="1"/>
        <v>11446.460811241157</v>
      </c>
      <c r="AD42" s="1">
        <f t="shared" ca="1" si="6"/>
        <v>11446.460811241157</v>
      </c>
      <c r="AE42" s="1"/>
      <c r="AF42" s="1"/>
      <c r="AG42" s="1"/>
      <c r="AH42" s="1"/>
      <c r="AI42" s="1"/>
      <c r="AJ42">
        <v>42</v>
      </c>
      <c r="AK42">
        <f t="shared" si="0"/>
        <v>45</v>
      </c>
      <c r="AL42">
        <f ca="1">SUMIF('Consolidated tables'!B:B,'Maesbury Road example'!$T$10,INDIRECT("'Consolidated tables'!"&amp;VLOOKUP(AJ42,AO:AP,2,FALSE)&amp;":"&amp;VLOOKUP(AJ42,AO:AP,2,FALSE)))</f>
        <v>3.380044937133788E-2</v>
      </c>
      <c r="AM42" s="1">
        <f ca="1">SUMIF('Consolidated tables'!B:B,'Maesbury Road example'!$T$14,INDIRECT("'Consolidated tables'!"&amp;VLOOKUP(AJ42,AO:AP,2,FALSE)&amp;":"&amp;VLOOKUP(AJ42,AO:AP,2,FALSE)))</f>
        <v>2.6500228316116323</v>
      </c>
      <c r="AN42" s="1">
        <f ca="1">SUMIF('Consolidated tables'!B:B,'Maesbury Road example'!$T$15,INDIRECT("'Consolidated tables'!"&amp;VLOOKUP(AJ42,AO:AP,2,FALSE)&amp;":"&amp;VLOOKUP(AJ42,AO:AP,2,FALSE)))</f>
        <v>0</v>
      </c>
      <c r="AO42">
        <v>36</v>
      </c>
      <c r="AP42" t="s">
        <v>47</v>
      </c>
      <c r="AQ42" s="12"/>
    </row>
    <row r="43" spans="1:43" s="20" customFormat="1" ht="24.95" customHeight="1">
      <c r="A43" s="32" t="s">
        <v>93</v>
      </c>
      <c r="B43" s="14"/>
      <c r="C43"/>
      <c r="D43" s="14"/>
      <c r="E43" s="14"/>
      <c r="F43" s="14"/>
      <c r="G43"/>
      <c r="H43" s="13"/>
      <c r="I43" s="49"/>
      <c r="J43" s="49"/>
      <c r="K43" s="49"/>
      <c r="L43" s="49"/>
      <c r="M43" s="49"/>
      <c r="N43" s="49"/>
      <c r="O43" s="49"/>
      <c r="P43" s="49"/>
      <c r="V43" s="1">
        <f t="shared" si="7"/>
        <v>2017</v>
      </c>
      <c r="W43" s="1">
        <f t="shared" ca="1" si="2"/>
        <v>134.60828018188465</v>
      </c>
      <c r="X43" s="1">
        <f t="shared" ca="1" si="3"/>
        <v>179.0290126419066</v>
      </c>
      <c r="Y43" s="1">
        <f t="shared" ca="1" si="4"/>
        <v>90.187547721862728</v>
      </c>
      <c r="Z43" s="1">
        <f t="shared" ca="1" si="5"/>
        <v>0</v>
      </c>
      <c r="AA43" t="b">
        <f t="shared" ca="1" si="8"/>
        <v>1</v>
      </c>
      <c r="AB43"/>
      <c r="AC43" s="1">
        <f t="shared" ca="1" si="1"/>
        <v>10553.558382820122</v>
      </c>
      <c r="AD43" s="1">
        <f t="shared" ca="1" si="6"/>
        <v>10553.558382820122</v>
      </c>
      <c r="AE43" s="1"/>
      <c r="AF43" s="1"/>
      <c r="AG43" s="1"/>
      <c r="AH43" s="1"/>
      <c r="AI43" s="1"/>
      <c r="AJ43">
        <v>43</v>
      </c>
      <c r="AK43">
        <f t="shared" si="0"/>
        <v>45</v>
      </c>
      <c r="AL43">
        <f ca="1">SUMIF('Consolidated tables'!B:B,'Maesbury Road example'!$T$10,INDIRECT("'Consolidated tables'!"&amp;VLOOKUP(AJ43,AO:AP,2,FALSE)&amp;":"&amp;VLOOKUP(AJ43,AO:AP,2,FALSE)))</f>
        <v>3.1235089302063E-2</v>
      </c>
      <c r="AM43" s="1">
        <f ca="1">SUMIF('Consolidated tables'!B:B,'Maesbury Road example'!$T$14,INDIRECT("'Consolidated tables'!"&amp;VLOOKUP(AJ43,AO:AP,2,FALSE)&amp;":"&amp;VLOOKUP(AJ43,AO:AP,2,FALSE)))</f>
        <v>2.4488934714603428</v>
      </c>
      <c r="AN43" s="1">
        <f ca="1">SUMIF('Consolidated tables'!B:B,'Maesbury Road example'!$T$15,INDIRECT("'Consolidated tables'!"&amp;VLOOKUP(AJ43,AO:AP,2,FALSE)&amp;":"&amp;VLOOKUP(AJ43,AO:AP,2,FALSE)))</f>
        <v>0</v>
      </c>
      <c r="AO43">
        <v>37</v>
      </c>
      <c r="AP43" t="s">
        <v>48</v>
      </c>
      <c r="AQ43" s="12"/>
    </row>
    <row r="44" spans="1:43" ht="24.95" customHeight="1" thickBot="1">
      <c r="A44" s="38"/>
      <c r="D44" s="11"/>
      <c r="H44" s="2"/>
      <c r="I44" s="2"/>
      <c r="J44" s="2"/>
      <c r="K44" s="2"/>
      <c r="L44" s="2"/>
      <c r="M44" s="2"/>
      <c r="N44" s="2"/>
      <c r="O44" s="2"/>
      <c r="P44" s="2"/>
      <c r="V44" s="1">
        <f t="shared" si="7"/>
        <v>2018</v>
      </c>
      <c r="W44" s="1">
        <f t="shared" ca="1" si="2"/>
        <v>124.13010406494145</v>
      </c>
      <c r="X44" s="1">
        <f t="shared" ca="1" si="3"/>
        <v>165.09303840637213</v>
      </c>
      <c r="Y44" s="1">
        <f t="shared" ca="1" si="4"/>
        <v>83.167169723510781</v>
      </c>
      <c r="Z44" s="1">
        <f t="shared" ca="1" si="5"/>
        <v>0</v>
      </c>
      <c r="AA44" t="b">
        <f t="shared" ca="1" si="8"/>
        <v>1</v>
      </c>
      <c r="AC44" s="1">
        <f t="shared" ca="1" si="1"/>
        <v>9732.0484188995415</v>
      </c>
      <c r="AD44" s="1">
        <f t="shared" ca="1" si="6"/>
        <v>9732.0484188995415</v>
      </c>
      <c r="AE44" s="1"/>
      <c r="AF44" s="1"/>
      <c r="AG44" s="1"/>
      <c r="AH44" s="1"/>
      <c r="AI44" s="1"/>
      <c r="AJ44">
        <v>44</v>
      </c>
      <c r="AK44">
        <f t="shared" si="0"/>
        <v>45</v>
      </c>
      <c r="AL44">
        <f ca="1">SUMIF('Consolidated tables'!B:B,'Maesbury Road example'!$T$10,INDIRECT("'Consolidated tables'!"&amp;VLOOKUP(AJ44,AO:AP,2,FALSE)&amp;":"&amp;VLOOKUP(AJ44,AO:AP,2,FALSE)))</f>
        <v>2.886751890182496E-2</v>
      </c>
      <c r="AM44" s="1">
        <f ca="1">SUMIF('Consolidated tables'!B:B,'Maesbury Road example'!$T$14,INDIRECT("'Consolidated tables'!"&amp;VLOOKUP(AJ44,AO:AP,2,FALSE)&amp;":"&amp;VLOOKUP(AJ44,AO:AP,2,FALSE)))</f>
        <v>2.2632712169408804</v>
      </c>
      <c r="AN44" s="1">
        <f ca="1">SUMIF('Consolidated tables'!B:B,'Maesbury Road example'!$T$15,INDIRECT("'Consolidated tables'!"&amp;VLOOKUP(AJ44,AO:AP,2,FALSE)&amp;":"&amp;VLOOKUP(AJ44,AO:AP,2,FALSE)))</f>
        <v>0</v>
      </c>
      <c r="AO44">
        <v>38</v>
      </c>
      <c r="AP44" t="s">
        <v>49</v>
      </c>
      <c r="AQ44" s="1"/>
    </row>
    <row r="45" spans="1:43" ht="24.95" customHeight="1" thickBot="1">
      <c r="A45" s="37" t="s">
        <v>102</v>
      </c>
      <c r="B45" s="71" t="s">
        <v>106</v>
      </c>
      <c r="C45" s="36"/>
      <c r="D45" s="73">
        <f ca="1">VLOOKUP(D2,V$2:AI$1048576,8,FALSE)</f>
        <v>12417.196090621959</v>
      </c>
      <c r="E45" s="36" t="s">
        <v>103</v>
      </c>
      <c r="H45" s="2"/>
      <c r="I45" s="2"/>
      <c r="J45" s="2"/>
      <c r="K45" s="2"/>
      <c r="L45" s="2"/>
      <c r="M45" s="2"/>
      <c r="N45" s="2"/>
      <c r="O45" s="2"/>
      <c r="P45" s="2"/>
      <c r="V45" s="1">
        <f t="shared" si="7"/>
        <v>2019</v>
      </c>
      <c r="W45" s="1">
        <f t="shared" ca="1" si="2"/>
        <v>114.48743820190417</v>
      </c>
      <c r="X45" s="1">
        <f t="shared" ca="1" si="3"/>
        <v>152.26829280853255</v>
      </c>
      <c r="Y45" s="1">
        <f t="shared" ca="1" si="4"/>
        <v>76.706583595275802</v>
      </c>
      <c r="Z45" s="1">
        <f t="shared" ca="1" si="5"/>
        <v>0</v>
      </c>
      <c r="AA45" t="b">
        <f t="shared" ca="1" si="8"/>
        <v>1</v>
      </c>
      <c r="AC45" s="1">
        <f t="shared" ca="1" si="1"/>
        <v>8976.0441299056911</v>
      </c>
      <c r="AD45" s="1">
        <f t="shared" ca="1" si="6"/>
        <v>8976.0441299056911</v>
      </c>
      <c r="AE45" s="1"/>
      <c r="AF45" s="1"/>
      <c r="AG45" s="1"/>
      <c r="AH45" s="1"/>
      <c r="AI45" s="1"/>
      <c r="AJ45">
        <v>45</v>
      </c>
      <c r="AK45">
        <f t="shared" si="0"/>
        <v>45</v>
      </c>
      <c r="AL45">
        <f ca="1">SUMIF('Consolidated tables'!B:B,'Maesbury Road example'!$T$10,INDIRECT("'Consolidated tables'!"&amp;VLOOKUP(AJ45,AO:AP,2,FALSE)&amp;":"&amp;VLOOKUP(AJ45,AO:AP,2,FALSE)))</f>
        <v>2.6682159900665279E-2</v>
      </c>
      <c r="AM45" s="1">
        <f ca="1">SUMIF('Consolidated tables'!B:B,'Maesbury Road example'!$T$14,INDIRECT("'Consolidated tables'!"&amp;VLOOKUP(AJ45,AO:AP,2,FALSE)&amp;":"&amp;VLOOKUP(AJ45,AO:AP,2,FALSE)))</f>
        <v>2.0919347005319593</v>
      </c>
      <c r="AN45" s="1">
        <f ca="1">SUMIF('Consolidated tables'!B:B,'Maesbury Road example'!$T$15,INDIRECT("'Consolidated tables'!"&amp;VLOOKUP(AJ45,AO:AP,2,FALSE)&amp;":"&amp;VLOOKUP(AJ45,AO:AP,2,FALSE)))</f>
        <v>0</v>
      </c>
      <c r="AO45">
        <v>39</v>
      </c>
      <c r="AP45" t="s">
        <v>50</v>
      </c>
      <c r="AQ45" s="1"/>
    </row>
    <row r="46" spans="1:43" ht="24.95" customHeight="1" thickBot="1">
      <c r="A46" s="36"/>
      <c r="B46" s="37"/>
      <c r="C46" s="36"/>
      <c r="D46" s="74"/>
      <c r="E46" s="36"/>
      <c r="H46" s="2"/>
      <c r="I46" s="2"/>
      <c r="J46" s="2"/>
      <c r="K46" s="2"/>
      <c r="L46" s="2"/>
      <c r="M46" s="2"/>
      <c r="N46" s="2"/>
      <c r="O46" s="2"/>
      <c r="P46" s="2"/>
      <c r="V46" s="1">
        <f t="shared" si="7"/>
        <v>2020</v>
      </c>
      <c r="W46" s="1">
        <f t="shared" ca="1" si="2"/>
        <v>105.61160659790016</v>
      </c>
      <c r="X46" s="1">
        <f t="shared" ca="1" si="3"/>
        <v>140.46343677520721</v>
      </c>
      <c r="Y46" s="1">
        <f t="shared" ca="1" si="4"/>
        <v>70.759776420593113</v>
      </c>
      <c r="Z46" s="1">
        <f t="shared" ca="1" si="5"/>
        <v>0</v>
      </c>
      <c r="AA46" t="b">
        <f t="shared" ca="1" si="8"/>
        <v>1</v>
      </c>
      <c r="AC46" s="1">
        <f t="shared" ca="1" si="1"/>
        <v>8280.1611804885688</v>
      </c>
      <c r="AD46" s="1">
        <f t="shared" ca="1" si="6"/>
        <v>8280.1611804885688</v>
      </c>
      <c r="AE46" s="1"/>
      <c r="AF46" s="1"/>
      <c r="AG46" s="1"/>
      <c r="AH46" s="1"/>
      <c r="AI46" s="1"/>
      <c r="AJ46">
        <v>46</v>
      </c>
      <c r="AK46">
        <f t="shared" si="0"/>
        <v>50</v>
      </c>
      <c r="AL46">
        <f ca="1">SUMIF('Consolidated tables'!B:B,'Maesbury Road example'!$T$10,INDIRECT("'Consolidated tables'!"&amp;VLOOKUP(AJ46,AO:AP,2,FALSE)&amp;":"&amp;VLOOKUP(AJ46,AO:AP,2,FALSE)))</f>
        <v>2.4664700031280521E-2</v>
      </c>
      <c r="AM46" s="1">
        <f ca="1">SUMIF('Consolidated tables'!B:B,'Maesbury Road example'!$T$14,INDIRECT("'Consolidated tables'!"&amp;VLOOKUP(AJ46,AO:AP,2,FALSE)&amp;":"&amp;VLOOKUP(AJ46,AO:AP,2,FALSE)))</f>
        <v>1.9337618118524555</v>
      </c>
      <c r="AN46" s="1">
        <f ca="1">SUMIF('Consolidated tables'!B:B,'Maesbury Road example'!$T$15,INDIRECT("'Consolidated tables'!"&amp;VLOOKUP(AJ46,AO:AP,2,FALSE)&amp;":"&amp;VLOOKUP(AJ46,AO:AP,2,FALSE)))</f>
        <v>0</v>
      </c>
      <c r="AO46">
        <v>40</v>
      </c>
      <c r="AP46" t="s">
        <v>51</v>
      </c>
      <c r="AQ46" s="1"/>
    </row>
    <row r="47" spans="1:43" ht="24.75" customHeight="1" thickTop="1" thickBot="1">
      <c r="A47" s="37" t="s">
        <v>104</v>
      </c>
      <c r="B47" s="75" t="s">
        <v>91</v>
      </c>
      <c r="C47" s="76">
        <f>D6+49</f>
        <v>2040</v>
      </c>
      <c r="D47" s="77">
        <f ca="1">SUM(AD17:AD66)</f>
        <v>140884.59766673754</v>
      </c>
      <c r="E47" s="36" t="s">
        <v>103</v>
      </c>
      <c r="V47" s="1">
        <f t="shared" si="7"/>
        <v>2021</v>
      </c>
      <c r="W47" s="1">
        <f t="shared" ca="1" si="2"/>
        <v>97.439804077148636</v>
      </c>
      <c r="X47" s="1">
        <f t="shared" ca="1" si="3"/>
        <v>129.59493942260769</v>
      </c>
      <c r="Y47" s="1">
        <f t="shared" ca="1" si="4"/>
        <v>65.284668731689592</v>
      </c>
      <c r="Z47" s="1">
        <f t="shared" ca="1" si="5"/>
        <v>0</v>
      </c>
      <c r="AA47" t="b">
        <f t="shared" ca="1" si="8"/>
        <v>1</v>
      </c>
      <c r="AC47" s="1">
        <f t="shared" ca="1" si="1"/>
        <v>7639.4755192566072</v>
      </c>
      <c r="AD47" s="1">
        <f t="shared" ca="1" si="6"/>
        <v>7639.4755192566072</v>
      </c>
      <c r="AE47" s="1"/>
      <c r="AF47" s="1"/>
      <c r="AG47" s="1"/>
      <c r="AH47" s="1"/>
      <c r="AI47" s="1"/>
      <c r="AJ47">
        <v>47</v>
      </c>
      <c r="AK47">
        <f t="shared" si="0"/>
        <v>50</v>
      </c>
      <c r="AL47">
        <f ca="1">SUMIF('Consolidated tables'!B:B,'Maesbury Road example'!$T$10,INDIRECT("'Consolidated tables'!"&amp;VLOOKUP(AJ47,AO:AP,2,FALSE)&amp;":"&amp;VLOOKUP(AJ47,AO:AP,2,FALSE)))</f>
        <v>2.2801976203918439E-2</v>
      </c>
      <c r="AM47" s="1">
        <f ca="1">SUMIF('Consolidated tables'!B:B,'Maesbury Road example'!$T$14,INDIRECT("'Consolidated tables'!"&amp;VLOOKUP(AJ47,AO:AP,2,FALSE)&amp;":"&amp;VLOOKUP(AJ47,AO:AP,2,FALSE)))</f>
        <v>1.7877205383396131</v>
      </c>
      <c r="AN47" s="1">
        <f ca="1">SUMIF('Consolidated tables'!B:B,'Maesbury Road example'!$T$15,INDIRECT("'Consolidated tables'!"&amp;VLOOKUP(AJ47,AO:AP,2,FALSE)&amp;":"&amp;VLOOKUP(AJ47,AO:AP,2,FALSE)))</f>
        <v>0</v>
      </c>
      <c r="AO47">
        <v>41</v>
      </c>
      <c r="AP47" t="s">
        <v>52</v>
      </c>
      <c r="AQ47" s="1"/>
    </row>
    <row r="48" spans="1:43">
      <c r="V48" s="1">
        <f t="shared" si="7"/>
        <v>2022</v>
      </c>
      <c r="W48" s="1">
        <f t="shared" ca="1" si="2"/>
        <v>89.914529800415039</v>
      </c>
      <c r="X48" s="1">
        <f t="shared" ca="1" si="3"/>
        <v>119.58632463455201</v>
      </c>
      <c r="Y48" s="1">
        <f t="shared" ca="1" si="4"/>
        <v>60.242734966278078</v>
      </c>
      <c r="Z48" s="1">
        <f t="shared" ca="1" si="5"/>
        <v>0</v>
      </c>
      <c r="AA48" t="b">
        <f t="shared" ca="1" si="8"/>
        <v>1</v>
      </c>
      <c r="AC48" s="1">
        <f t="shared" ca="1" si="1"/>
        <v>7049.4789654121405</v>
      </c>
      <c r="AD48" s="1">
        <f t="shared" ca="1" si="6"/>
        <v>7049.4789654121405</v>
      </c>
      <c r="AE48" s="1"/>
      <c r="AF48" s="1"/>
      <c r="AG48" s="1"/>
      <c r="AH48" s="1"/>
      <c r="AI48" s="1"/>
      <c r="AJ48">
        <v>48</v>
      </c>
      <c r="AK48">
        <f t="shared" si="0"/>
        <v>50</v>
      </c>
      <c r="AL48">
        <f ca="1">SUMIF('Consolidated tables'!B:B,'Maesbury Road example'!$T$10,INDIRECT("'Consolidated tables'!"&amp;VLOOKUP(AJ48,AO:AP,2,FALSE)&amp;":"&amp;VLOOKUP(AJ48,AO:AP,2,FALSE)))</f>
        <v>2.1081891059875478E-2</v>
      </c>
      <c r="AM48" s="1">
        <f ca="1">SUMIF('Consolidated tables'!B:B,'Maesbury Road example'!$T$14,INDIRECT("'Consolidated tables'!"&amp;VLOOKUP(AJ48,AO:AP,2,FALSE)&amp;":"&amp;VLOOKUP(AJ48,AO:AP,2,FALSE)))</f>
        <v>1.6528624228763573</v>
      </c>
      <c r="AN48" s="1">
        <f ca="1">SUMIF('Consolidated tables'!B:B,'Maesbury Road example'!$T$15,INDIRECT("'Consolidated tables'!"&amp;VLOOKUP(AJ48,AO:AP,2,FALSE)&amp;":"&amp;VLOOKUP(AJ48,AO:AP,2,FALSE)))</f>
        <v>0</v>
      </c>
      <c r="AO48">
        <v>42</v>
      </c>
      <c r="AP48" t="s">
        <v>53</v>
      </c>
      <c r="AQ48" s="1"/>
    </row>
    <row r="49" spans="4:43">
      <c r="V49" s="1">
        <f t="shared" si="7"/>
        <v>2023</v>
      </c>
      <c r="W49" s="1">
        <f t="shared" ca="1" si="2"/>
        <v>82.983169555664162</v>
      </c>
      <c r="X49" s="1">
        <f t="shared" ca="1" si="3"/>
        <v>110.36761550903334</v>
      </c>
      <c r="Y49" s="1">
        <f t="shared" ca="1" si="4"/>
        <v>55.598723602294989</v>
      </c>
      <c r="Z49" s="1">
        <f t="shared" ca="1" si="5"/>
        <v>0</v>
      </c>
      <c r="AA49" t="b">
        <f t="shared" ca="1" si="8"/>
        <v>1</v>
      </c>
      <c r="AC49" s="1">
        <f t="shared" ca="1" si="1"/>
        <v>6506.0464595031817</v>
      </c>
      <c r="AD49" s="1">
        <f t="shared" ca="1" si="6"/>
        <v>6506.0464595031817</v>
      </c>
      <c r="AE49" s="1"/>
      <c r="AF49" s="1"/>
      <c r="AG49" s="1"/>
      <c r="AH49" s="1"/>
      <c r="AI49" s="1"/>
      <c r="AJ49">
        <v>49</v>
      </c>
      <c r="AK49">
        <f t="shared" si="0"/>
        <v>50</v>
      </c>
      <c r="AL49">
        <f ca="1">SUMIF('Consolidated tables'!B:B,'Maesbury Road example'!$T$10,INDIRECT("'Consolidated tables'!"&amp;VLOOKUP(AJ49,AO:AP,2,FALSE)&amp;":"&amp;VLOOKUP(AJ49,AO:AP,2,FALSE)))</f>
        <v>1.9493311643600478E-2</v>
      </c>
      <c r="AM49" s="1">
        <f ca="1">SUMIF('Consolidated tables'!B:B,'Maesbury Road example'!$T$14,INDIRECT("'Consolidated tables'!"&amp;VLOOKUP(AJ49,AO:AP,2,FALSE)&amp;":"&amp;VLOOKUP(AJ49,AO:AP,2,FALSE)))</f>
        <v>1.5283146194815647</v>
      </c>
      <c r="AN49" s="1">
        <f ca="1">SUMIF('Consolidated tables'!B:B,'Maesbury Road example'!$T$15,INDIRECT("'Consolidated tables'!"&amp;VLOOKUP(AJ49,AO:AP,2,FALSE)&amp;":"&amp;VLOOKUP(AJ49,AO:AP,2,FALSE)))</f>
        <v>0</v>
      </c>
      <c r="AO49">
        <v>43</v>
      </c>
      <c r="AP49" t="s">
        <v>54</v>
      </c>
      <c r="AQ49" s="1"/>
    </row>
    <row r="50" spans="4:43">
      <c r="V50" s="1">
        <f t="shared" si="7"/>
        <v>2024</v>
      </c>
      <c r="W50" s="1">
        <f t="shared" ca="1" si="2"/>
        <v>76.597520828246886</v>
      </c>
      <c r="X50" s="1">
        <f t="shared" ca="1" si="3"/>
        <v>101.87470270156837</v>
      </c>
      <c r="Y50" s="1">
        <f t="shared" ca="1" si="4"/>
        <v>51.320338954925418</v>
      </c>
      <c r="Z50" s="1">
        <f t="shared" ca="1" si="5"/>
        <v>0</v>
      </c>
      <c r="AA50" t="b">
        <f t="shared" ca="1" si="8"/>
        <v>1</v>
      </c>
      <c r="AC50" s="1">
        <f t="shared" ca="1" si="1"/>
        <v>6005.3988279762125</v>
      </c>
      <c r="AD50" s="1">
        <f t="shared" ca="1" si="6"/>
        <v>6005.3988279762125</v>
      </c>
      <c r="AE50" s="1"/>
      <c r="AF50" s="1"/>
      <c r="AG50" s="1"/>
      <c r="AH50" s="1"/>
      <c r="AI50" s="1"/>
      <c r="AJ50">
        <v>50</v>
      </c>
      <c r="AK50">
        <f t="shared" si="0"/>
        <v>50</v>
      </c>
      <c r="AL50">
        <f ca="1">SUMIF('Consolidated tables'!B:B,'Maesbury Road example'!$T$10,INDIRECT("'Consolidated tables'!"&amp;VLOOKUP(AJ50,AO:AP,2,FALSE)&amp;":"&amp;VLOOKUP(AJ50,AO:AP,2,FALSE)))</f>
        <v>1.8025999069213882E-2</v>
      </c>
      <c r="AM50" s="1">
        <f ca="1">SUMIF('Consolidated tables'!B:B,'Maesbury Road example'!$T$14,INDIRECT("'Consolidated tables'!"&amp;VLOOKUP(AJ50,AO:AP,2,FALSE)&amp;":"&amp;VLOOKUP(AJ50,AO:AP,2,FALSE)))</f>
        <v>1.4132743790245068</v>
      </c>
      <c r="AN50" s="1">
        <f ca="1">SUMIF('Consolidated tables'!B:B,'Maesbury Road example'!$T$15,INDIRECT("'Consolidated tables'!"&amp;VLOOKUP(AJ50,AO:AP,2,FALSE)&amp;":"&amp;VLOOKUP(AJ50,AO:AP,2,FALSE)))</f>
        <v>0</v>
      </c>
      <c r="AO50">
        <v>44</v>
      </c>
      <c r="AP50" t="s">
        <v>55</v>
      </c>
      <c r="AQ50" s="1"/>
    </row>
    <row r="51" spans="4:43">
      <c r="V51" s="1">
        <f t="shared" si="7"/>
        <v>2025</v>
      </c>
      <c r="W51" s="1">
        <f t="shared" ca="1" si="2"/>
        <v>70.713443756103359</v>
      </c>
      <c r="X51" s="1">
        <f t="shared" ca="1" si="3"/>
        <v>94.048880195617471</v>
      </c>
      <c r="Y51" s="1">
        <f t="shared" ca="1" si="4"/>
        <v>47.378007316589255</v>
      </c>
      <c r="Z51" s="1">
        <f t="shared" ca="1" si="5"/>
        <v>0</v>
      </c>
      <c r="AA51" t="b">
        <f t="shared" ca="1" si="8"/>
        <v>1</v>
      </c>
      <c r="AC51" s="1">
        <f t="shared" ca="1" si="1"/>
        <v>5544.0754173660143</v>
      </c>
      <c r="AD51" s="1">
        <f t="shared" ca="1" si="6"/>
        <v>5544.0754173660143</v>
      </c>
      <c r="AE51" s="1"/>
      <c r="AF51" s="1"/>
      <c r="AG51" s="1"/>
      <c r="AH51" s="1"/>
      <c r="AI51" s="1"/>
      <c r="AM51" s="1"/>
      <c r="AN51" s="1"/>
      <c r="AO51">
        <v>45</v>
      </c>
      <c r="AP51" t="s">
        <v>56</v>
      </c>
      <c r="AQ51" s="1"/>
    </row>
    <row r="52" spans="4:43">
      <c r="V52" s="1">
        <f t="shared" si="7"/>
        <v>2026</v>
      </c>
      <c r="W52" s="1">
        <f t="shared" ca="1" si="2"/>
        <v>65.290472030639521</v>
      </c>
      <c r="X52" s="1">
        <f t="shared" ca="1" si="3"/>
        <v>86.836327800750567</v>
      </c>
      <c r="Y52" s="1">
        <f t="shared" ca="1" si="4"/>
        <v>43.744616260528481</v>
      </c>
      <c r="Z52" s="1">
        <f t="shared" ca="1" si="5"/>
        <v>0</v>
      </c>
      <c r="AA52" t="b">
        <f t="shared" ca="1" si="8"/>
        <v>1</v>
      </c>
      <c r="AC52" s="1">
        <f t="shared" ca="1" si="1"/>
        <v>5118.9035881461987</v>
      </c>
      <c r="AD52" s="1">
        <f t="shared" ca="1" si="6"/>
        <v>5118.9035881461987</v>
      </c>
      <c r="AE52" s="1"/>
      <c r="AF52" s="1"/>
      <c r="AG52" s="1"/>
      <c r="AH52" s="1"/>
      <c r="AI52" s="1"/>
      <c r="AM52" s="1"/>
      <c r="AN52" s="1"/>
      <c r="AO52">
        <v>46</v>
      </c>
      <c r="AP52" t="s">
        <v>57</v>
      </c>
      <c r="AQ52" s="1"/>
    </row>
    <row r="53" spans="4:43">
      <c r="V53" s="1">
        <f t="shared" si="7"/>
        <v>2027</v>
      </c>
      <c r="W53" s="1">
        <f t="shared" ca="1" si="2"/>
        <v>60.291526794433445</v>
      </c>
      <c r="X53" s="1">
        <f t="shared" ca="1" si="3"/>
        <v>80.187730636596484</v>
      </c>
      <c r="Y53" s="1">
        <f t="shared" ca="1" si="4"/>
        <v>40.395322952270412</v>
      </c>
      <c r="Z53" s="1">
        <f t="shared" ca="1" si="5"/>
        <v>0</v>
      </c>
      <c r="AA53" t="b">
        <f t="shared" ca="1" si="8"/>
        <v>1</v>
      </c>
      <c r="AC53" s="1">
        <f t="shared" ca="1" si="1"/>
        <v>4726.9762837371709</v>
      </c>
      <c r="AD53" s="1">
        <f t="shared" ca="1" si="6"/>
        <v>4726.9762837371709</v>
      </c>
      <c r="AE53" s="1"/>
      <c r="AF53" s="1"/>
      <c r="AG53" s="1"/>
      <c r="AH53" s="1"/>
      <c r="AI53" s="1"/>
      <c r="AM53" s="1"/>
      <c r="AN53" s="1"/>
      <c r="AO53">
        <v>47</v>
      </c>
      <c r="AP53" t="s">
        <v>63</v>
      </c>
    </row>
    <row r="54" spans="4:43">
      <c r="D54" s="53"/>
      <c r="V54" s="1">
        <f t="shared" si="7"/>
        <v>2028</v>
      </c>
      <c r="W54" s="1">
        <f t="shared" ca="1" si="2"/>
        <v>55.682596206664805</v>
      </c>
      <c r="X54" s="1">
        <f t="shared" ca="1" si="3"/>
        <v>74.057852954864188</v>
      </c>
      <c r="Y54" s="1">
        <f t="shared" ca="1" si="4"/>
        <v>37.307339458465421</v>
      </c>
      <c r="Z54" s="1">
        <f t="shared" ca="1" si="5"/>
        <v>0</v>
      </c>
      <c r="AA54" t="b">
        <f t="shared" ca="1" si="8"/>
        <v>1</v>
      </c>
      <c r="AC54" s="1">
        <f t="shared" ca="1" si="1"/>
        <v>4365.6269077949337</v>
      </c>
      <c r="AD54" s="1">
        <f t="shared" ca="1" si="6"/>
        <v>4365.6269077949337</v>
      </c>
      <c r="AE54" s="1"/>
      <c r="AF54" s="1"/>
      <c r="AG54" s="1"/>
      <c r="AH54" s="1"/>
      <c r="AI54" s="1"/>
      <c r="AM54" s="1"/>
      <c r="AN54" s="1"/>
      <c r="AO54">
        <v>48</v>
      </c>
      <c r="AP54" t="s">
        <v>64</v>
      </c>
    </row>
    <row r="55" spans="4:43">
      <c r="V55" s="1">
        <f t="shared" si="7"/>
        <v>2029</v>
      </c>
      <c r="W55" s="1">
        <f t="shared" ca="1" si="2"/>
        <v>51.432495117187685</v>
      </c>
      <c r="X55" s="1">
        <f t="shared" ca="1" si="3"/>
        <v>68.405218505859622</v>
      </c>
      <c r="Y55" s="1">
        <f t="shared" ca="1" si="4"/>
        <v>34.459771728515754</v>
      </c>
      <c r="Z55" s="1">
        <f t="shared" ca="1" si="5"/>
        <v>0</v>
      </c>
      <c r="AA55" t="b">
        <f t="shared" ca="1" si="8"/>
        <v>1</v>
      </c>
      <c r="AC55" s="1">
        <f t="shared" ca="1" si="1"/>
        <v>4032.4104821777478</v>
      </c>
      <c r="AD55" s="1">
        <f t="shared" ca="1" si="6"/>
        <v>4032.4104821777478</v>
      </c>
      <c r="AE55" s="1"/>
      <c r="AF55" s="1"/>
      <c r="AG55" s="1"/>
      <c r="AH55" s="1"/>
      <c r="AI55" s="1"/>
      <c r="AM55" s="1"/>
      <c r="AN55" s="1"/>
      <c r="AO55">
        <v>49</v>
      </c>
      <c r="AP55" t="s">
        <v>65</v>
      </c>
    </row>
    <row r="56" spans="4:43">
      <c r="V56" s="1">
        <f t="shared" si="7"/>
        <v>2030</v>
      </c>
      <c r="W56" s="1">
        <f t="shared" ca="1" si="2"/>
        <v>47.512604713439949</v>
      </c>
      <c r="X56" s="1">
        <f t="shared" ca="1" si="3"/>
        <v>63.191764268875133</v>
      </c>
      <c r="Y56" s="1">
        <f t="shared" ca="1" si="4"/>
        <v>31.833445158004768</v>
      </c>
      <c r="Z56" s="1">
        <f t="shared" ca="1" si="5"/>
        <v>0</v>
      </c>
      <c r="AA56" t="b">
        <f t="shared" ca="1" si="8"/>
        <v>1</v>
      </c>
      <c r="AC56" s="1">
        <f t="shared" ca="1" si="1"/>
        <v>3725.0832347431192</v>
      </c>
      <c r="AD56" s="1">
        <f t="shared" ca="1" si="6"/>
        <v>3725.0832347431192</v>
      </c>
      <c r="AE56" s="1"/>
      <c r="AF56" s="1"/>
      <c r="AG56" s="1"/>
      <c r="AH56" s="1"/>
      <c r="AI56" s="1"/>
      <c r="AM56" s="1"/>
      <c r="AN56" s="1"/>
      <c r="AO56">
        <v>50</v>
      </c>
      <c r="AP56" t="s">
        <v>66</v>
      </c>
    </row>
    <row r="57" spans="4:43">
      <c r="V57" s="1">
        <f t="shared" si="7"/>
        <v>2031</v>
      </c>
      <c r="W57" s="1">
        <f t="shared" ca="1" si="2"/>
        <v>43.8966579437256</v>
      </c>
      <c r="X57" s="1">
        <f t="shared" ca="1" si="3"/>
        <v>58.382555065155053</v>
      </c>
      <c r="Y57" s="1">
        <f t="shared" ca="1" si="4"/>
        <v>29.410760822296155</v>
      </c>
      <c r="Z57" s="1">
        <f t="shared" ca="1" si="5"/>
        <v>0</v>
      </c>
      <c r="AA57" t="b">
        <f t="shared" ca="1" si="8"/>
        <v>1</v>
      </c>
      <c r="AC57" s="1">
        <f t="shared" ca="1" si="1"/>
        <v>3441.5857761039747</v>
      </c>
      <c r="AD57" s="1">
        <f t="shared" ca="1" si="6"/>
        <v>3441.5857761039747</v>
      </c>
      <c r="AE57" s="1"/>
      <c r="AF57" s="1"/>
      <c r="AG57" s="1"/>
      <c r="AH57" s="1"/>
      <c r="AI57" s="1"/>
    </row>
    <row r="58" spans="4:43">
      <c r="V58" s="1">
        <f t="shared" si="7"/>
        <v>2032</v>
      </c>
      <c r="W58" s="1">
        <f t="shared" ca="1" si="2"/>
        <v>40.560539245605455</v>
      </c>
      <c r="X58" s="1">
        <f t="shared" ca="1" si="3"/>
        <v>53.94551719665526</v>
      </c>
      <c r="Y58" s="1">
        <f t="shared" ca="1" si="4"/>
        <v>27.175561294555656</v>
      </c>
      <c r="Z58" s="1">
        <f t="shared" ca="1" si="5"/>
        <v>0</v>
      </c>
      <c r="AA58" t="b">
        <f t="shared" ca="1" si="8"/>
        <v>1</v>
      </c>
      <c r="AC58" s="1">
        <f t="shared" ca="1" si="1"/>
        <v>3180.0273979339586</v>
      </c>
      <c r="AD58" s="1">
        <f t="shared" ca="1" si="6"/>
        <v>3180.0273979339586</v>
      </c>
      <c r="AE58" s="1"/>
      <c r="AF58" s="1"/>
      <c r="AG58" s="1"/>
      <c r="AH58" s="1"/>
      <c r="AI58" s="1"/>
    </row>
    <row r="59" spans="4:43">
      <c r="V59" s="1">
        <f t="shared" si="7"/>
        <v>2033</v>
      </c>
      <c r="W59" s="1">
        <f t="shared" ca="1" si="2"/>
        <v>37.4821071624756</v>
      </c>
      <c r="X59" s="1">
        <f t="shared" ca="1" si="3"/>
        <v>49.85120252609255</v>
      </c>
      <c r="Y59" s="1">
        <f t="shared" ca="1" si="4"/>
        <v>25.113011798858654</v>
      </c>
      <c r="Z59" s="1">
        <f t="shared" ca="1" si="5"/>
        <v>0</v>
      </c>
      <c r="AA59" t="b">
        <f t="shared" ca="1" si="8"/>
        <v>1</v>
      </c>
      <c r="AC59" s="1">
        <f t="shared" ca="1" si="1"/>
        <v>2938.6721657524113</v>
      </c>
      <c r="AD59" s="1">
        <f t="shared" ca="1" si="6"/>
        <v>2938.6721657524113</v>
      </c>
      <c r="AE59" s="1"/>
      <c r="AF59" s="1"/>
      <c r="AG59" s="1"/>
      <c r="AH59" s="1"/>
      <c r="AI59" s="1"/>
    </row>
    <row r="60" spans="4:43">
      <c r="V60" s="1">
        <f t="shared" si="7"/>
        <v>2034</v>
      </c>
      <c r="W60" s="1">
        <f t="shared" ca="1" si="2"/>
        <v>34.641022682189956</v>
      </c>
      <c r="X60" s="1">
        <f t="shared" ca="1" si="3"/>
        <v>46.072560167312645</v>
      </c>
      <c r="Y60" s="1">
        <f t="shared" ca="1" si="4"/>
        <v>23.20948519706727</v>
      </c>
      <c r="Z60" s="1">
        <f t="shared" ca="1" si="5"/>
        <v>0</v>
      </c>
      <c r="AA60" t="b">
        <f t="shared" ca="1" si="8"/>
        <v>1</v>
      </c>
      <c r="AC60" s="1">
        <f t="shared" ca="1" si="1"/>
        <v>2715.9254603290565</v>
      </c>
      <c r="AD60" s="1">
        <f t="shared" ca="1" si="6"/>
        <v>2715.9254603290565</v>
      </c>
      <c r="AE60" s="1"/>
      <c r="AF60" s="1"/>
      <c r="AG60" s="1"/>
      <c r="AH60" s="1"/>
      <c r="AI60" s="1"/>
    </row>
    <row r="61" spans="4:43">
      <c r="V61" s="1">
        <f t="shared" si="7"/>
        <v>2035</v>
      </c>
      <c r="W61" s="1">
        <f t="shared" ca="1" si="2"/>
        <v>32.018591880798333</v>
      </c>
      <c r="X61" s="1">
        <f t="shared" ca="1" si="3"/>
        <v>42.584727201461781</v>
      </c>
      <c r="Y61" s="1">
        <f t="shared" ca="1" si="4"/>
        <v>21.452456560134884</v>
      </c>
      <c r="Z61" s="1">
        <f t="shared" ca="1" si="5"/>
        <v>0</v>
      </c>
      <c r="AA61" t="b">
        <f t="shared" ca="1" si="8"/>
        <v>1</v>
      </c>
      <c r="AC61" s="1">
        <f t="shared" ca="1" si="1"/>
        <v>2510.3216406383513</v>
      </c>
      <c r="AD61" s="1">
        <f t="shared" ca="1" si="6"/>
        <v>2510.3216406383513</v>
      </c>
      <c r="AE61" s="1"/>
      <c r="AF61" s="1"/>
      <c r="AG61" s="1"/>
      <c r="AH61" s="1"/>
      <c r="AI61" s="1"/>
    </row>
    <row r="62" spans="4:43">
      <c r="V62" s="1">
        <f t="shared" si="7"/>
        <v>2036</v>
      </c>
      <c r="W62" s="1">
        <f t="shared" ca="1" si="2"/>
        <v>29.597640037536625</v>
      </c>
      <c r="X62" s="1">
        <f t="shared" ca="1" si="3"/>
        <v>39.364861249923713</v>
      </c>
      <c r="Y62" s="1">
        <f t="shared" ca="1" si="4"/>
        <v>19.83041882514954</v>
      </c>
      <c r="Z62" s="1">
        <f t="shared" ca="1" si="5"/>
        <v>0</v>
      </c>
      <c r="AA62" t="b">
        <f t="shared" ca="1" si="8"/>
        <v>1</v>
      </c>
      <c r="AC62" s="1">
        <f t="shared" ca="1" si="1"/>
        <v>2320.5141742229466</v>
      </c>
      <c r="AD62" s="1">
        <f t="shared" ca="1" si="6"/>
        <v>2320.5141742229466</v>
      </c>
      <c r="AE62" s="1"/>
      <c r="AF62" s="1"/>
      <c r="AG62" s="1"/>
      <c r="AH62" s="1"/>
      <c r="AI62" s="1"/>
    </row>
    <row r="63" spans="4:43">
      <c r="V63" s="1">
        <f t="shared" si="7"/>
        <v>2037</v>
      </c>
      <c r="W63" s="1">
        <f t="shared" ca="1" si="2"/>
        <v>27.362371444702127</v>
      </c>
      <c r="X63" s="1">
        <f t="shared" ca="1" si="3"/>
        <v>36.391954021453834</v>
      </c>
      <c r="Y63" s="1">
        <f t="shared" ca="1" si="4"/>
        <v>18.332788867950427</v>
      </c>
      <c r="Z63" s="1">
        <f t="shared" ca="1" si="5"/>
        <v>0</v>
      </c>
      <c r="AA63" t="b">
        <f t="shared" ca="1" si="8"/>
        <v>1</v>
      </c>
      <c r="AC63" s="1">
        <f t="shared" ca="1" si="1"/>
        <v>2145.2646460075357</v>
      </c>
      <c r="AD63" s="1">
        <f t="shared" ca="1" si="6"/>
        <v>2145.2646460075357</v>
      </c>
      <c r="AE63" s="1"/>
      <c r="AF63" s="1"/>
      <c r="AG63" s="1"/>
      <c r="AH63" s="1"/>
      <c r="AI63" s="1"/>
    </row>
    <row r="64" spans="4:43">
      <c r="V64" s="1">
        <f t="shared" si="7"/>
        <v>2038</v>
      </c>
      <c r="W64" s="1">
        <f t="shared" ca="1" si="2"/>
        <v>25.298269271850575</v>
      </c>
      <c r="X64" s="1">
        <f t="shared" ca="1" si="3"/>
        <v>33.646698131561266</v>
      </c>
      <c r="Y64" s="1">
        <f t="shared" ca="1" si="4"/>
        <v>16.949840412139885</v>
      </c>
      <c r="Z64" s="1">
        <f t="shared" ca="1" si="5"/>
        <v>0</v>
      </c>
      <c r="AA64" t="b">
        <f t="shared" ca="1" si="8"/>
        <v>1</v>
      </c>
      <c r="AC64" s="1">
        <f t="shared" ca="1" si="1"/>
        <v>1983.4349074516288</v>
      </c>
      <c r="AD64" s="1">
        <f t="shared" ca="1" si="6"/>
        <v>1983.4349074516288</v>
      </c>
      <c r="AE64" s="1"/>
      <c r="AF64" s="1"/>
      <c r="AG64" s="1"/>
      <c r="AH64" s="1"/>
      <c r="AI64" s="1"/>
      <c r="AM64" s="1"/>
      <c r="AN64" s="1"/>
    </row>
    <row r="65" spans="22:40">
      <c r="V65" s="1">
        <f t="shared" si="7"/>
        <v>2039</v>
      </c>
      <c r="W65" s="1">
        <f t="shared" ca="1" si="2"/>
        <v>23.391973972320574</v>
      </c>
      <c r="X65" s="1">
        <f t="shared" ca="1" si="3"/>
        <v>31.111325383186365</v>
      </c>
      <c r="Y65" s="1">
        <f t="shared" ca="1" si="4"/>
        <v>15.672622561454785</v>
      </c>
      <c r="Z65" s="1">
        <f t="shared" ca="1" si="5"/>
        <v>0</v>
      </c>
      <c r="AA65" t="b">
        <f t="shared" ca="1" si="8"/>
        <v>1</v>
      </c>
      <c r="AC65" s="1">
        <f t="shared" ca="1" si="1"/>
        <v>1833.9775433778775</v>
      </c>
      <c r="AD65" s="1">
        <f t="shared" ca="1" si="6"/>
        <v>1833.9775433778775</v>
      </c>
      <c r="AE65" s="1"/>
      <c r="AF65" s="1"/>
      <c r="AG65" s="1"/>
      <c r="AH65" s="1"/>
      <c r="AI65" s="1"/>
      <c r="AM65" s="1"/>
      <c r="AN65" s="1"/>
    </row>
    <row r="66" spans="22:40">
      <c r="V66" s="1">
        <f t="shared" si="7"/>
        <v>2040</v>
      </c>
      <c r="W66" s="1">
        <f t="shared" ca="1" si="2"/>
        <v>21.631198883056658</v>
      </c>
      <c r="X66" s="1">
        <f t="shared" ca="1" si="3"/>
        <v>28.769494514465357</v>
      </c>
      <c r="Y66" s="1">
        <f t="shared" ca="1" si="4"/>
        <v>14.492903251647961</v>
      </c>
      <c r="Z66" s="1">
        <f t="shared" ca="1" si="5"/>
        <v>0</v>
      </c>
      <c r="AA66" t="b">
        <f t="shared" ca="1" si="8"/>
        <v>1</v>
      </c>
      <c r="AC66" s="1">
        <f t="shared" ca="1" si="1"/>
        <v>1695.9292548294081</v>
      </c>
      <c r="AD66" s="1">
        <f t="shared" ca="1" si="6"/>
        <v>1695.9292548294081</v>
      </c>
      <c r="AE66" s="1"/>
      <c r="AF66" s="1"/>
      <c r="AG66" s="1"/>
      <c r="AH66" s="1"/>
      <c r="AI66" s="1"/>
      <c r="AM66" s="1"/>
      <c r="AN66" s="1"/>
    </row>
    <row r="69" spans="22:40">
      <c r="V69" s="1"/>
      <c r="W69" s="1"/>
      <c r="X69" s="1"/>
      <c r="Y69" s="1"/>
      <c r="Z69" s="1"/>
      <c r="AC69" s="1"/>
      <c r="AD69" s="1"/>
      <c r="AE69" s="1"/>
      <c r="AF69" s="1"/>
      <c r="AG69" s="1"/>
      <c r="AH69" s="1"/>
      <c r="AI69" s="1"/>
      <c r="AM69" s="1"/>
      <c r="AN69" s="1"/>
    </row>
    <row r="70" spans="22:40">
      <c r="V70" s="1"/>
      <c r="W70" s="1"/>
      <c r="X70" s="1"/>
      <c r="Y70" s="1"/>
      <c r="Z70" s="1"/>
      <c r="AC70" s="1"/>
      <c r="AD70" s="1"/>
      <c r="AE70" s="1"/>
      <c r="AF70" s="1"/>
      <c r="AG70" s="1"/>
      <c r="AH70" s="1"/>
      <c r="AI70" s="1"/>
      <c r="AM70" s="1"/>
      <c r="AN70" s="1"/>
    </row>
    <row r="71" spans="22:40">
      <c r="V71" s="1"/>
      <c r="W71" s="1"/>
      <c r="X71" s="1"/>
      <c r="Y71" s="1"/>
      <c r="Z71" s="1"/>
      <c r="AC71" s="1"/>
      <c r="AD71" s="1"/>
      <c r="AE71" s="1"/>
      <c r="AF71" s="1"/>
      <c r="AG71" s="1"/>
      <c r="AH71" s="1"/>
      <c r="AI71" s="1"/>
      <c r="AM71" s="1"/>
      <c r="AN71" s="1"/>
    </row>
    <row r="72" spans="22:40">
      <c r="V72" s="1"/>
      <c r="W72" s="1"/>
      <c r="X72" s="1"/>
      <c r="Y72" s="1"/>
      <c r="Z72" s="1"/>
      <c r="AC72" s="1"/>
      <c r="AD72" s="1"/>
      <c r="AE72" s="1"/>
      <c r="AF72" s="1"/>
      <c r="AG72" s="1"/>
      <c r="AH72" s="1"/>
      <c r="AI72" s="1"/>
      <c r="AM72" s="1"/>
      <c r="AN72" s="1"/>
    </row>
    <row r="73" spans="22:40">
      <c r="V73" s="1"/>
      <c r="W73" s="1"/>
      <c r="X73" s="1"/>
      <c r="Y73" s="1"/>
      <c r="Z73" s="1"/>
      <c r="AC73" s="1"/>
      <c r="AD73" s="1"/>
      <c r="AE73" s="1"/>
      <c r="AF73" s="1"/>
      <c r="AG73" s="1"/>
      <c r="AH73" s="1"/>
      <c r="AI73" s="1"/>
      <c r="AM73" s="1"/>
      <c r="AN73" s="1"/>
    </row>
    <row r="74" spans="22:40">
      <c r="V74" s="1"/>
      <c r="W74" s="1"/>
      <c r="X74" s="1"/>
      <c r="Y74" s="1"/>
      <c r="Z74" s="1"/>
      <c r="AC74" s="1"/>
      <c r="AD74" s="1"/>
      <c r="AE74" s="1"/>
      <c r="AF74" s="1"/>
      <c r="AG74" s="1"/>
      <c r="AH74" s="1"/>
      <c r="AI74" s="1"/>
      <c r="AM74" s="1"/>
      <c r="AN74" s="1"/>
    </row>
    <row r="75" spans="22:40">
      <c r="V75" s="1"/>
      <c r="W75" s="1"/>
      <c r="X75" s="1"/>
      <c r="Y75" s="1"/>
      <c r="Z75" s="1"/>
      <c r="AC75" s="1"/>
      <c r="AD75" s="1"/>
      <c r="AE75" s="1"/>
      <c r="AF75" s="1"/>
      <c r="AG75" s="1"/>
      <c r="AH75" s="1"/>
      <c r="AI75" s="1"/>
      <c r="AM75" s="1"/>
      <c r="AN75" s="1"/>
    </row>
    <row r="76" spans="22:40">
      <c r="V76" s="1"/>
      <c r="W76" s="1"/>
      <c r="X76" s="1"/>
      <c r="Y76" s="1"/>
      <c r="Z76" s="1"/>
      <c r="AC76" s="1"/>
      <c r="AD76" s="1"/>
      <c r="AE76" s="1"/>
      <c r="AF76" s="1"/>
      <c r="AG76" s="1"/>
      <c r="AH76" s="1"/>
      <c r="AI76" s="1"/>
      <c r="AM76" s="1"/>
      <c r="AN76" s="1"/>
    </row>
    <row r="77" spans="22:40">
      <c r="V77" s="1"/>
      <c r="W77" s="1"/>
      <c r="X77" s="1"/>
      <c r="Y77" s="1"/>
      <c r="Z77" s="1"/>
      <c r="AC77" s="1"/>
      <c r="AD77" s="1"/>
      <c r="AE77" s="1"/>
      <c r="AF77" s="1"/>
      <c r="AG77" s="1"/>
      <c r="AH77" s="1"/>
      <c r="AI77" s="1"/>
      <c r="AM77" s="1"/>
      <c r="AN77" s="1"/>
    </row>
    <row r="78" spans="22:40">
      <c r="AM78" s="1"/>
      <c r="AN78" s="1"/>
    </row>
    <row r="79" spans="22:40">
      <c r="AM79" s="1"/>
      <c r="AN79" s="1"/>
    </row>
    <row r="80" spans="22:40">
      <c r="AM80" s="1"/>
      <c r="AN80" s="1"/>
    </row>
    <row r="81" spans="39:40">
      <c r="AM81" s="1"/>
      <c r="AN81" s="1"/>
    </row>
    <row r="82" spans="39:40">
      <c r="AM82" s="1"/>
      <c r="AN82" s="1"/>
    </row>
    <row r="83" spans="39:40">
      <c r="AM83" s="1"/>
      <c r="AN83" s="1"/>
    </row>
    <row r="84" spans="39:40">
      <c r="AM84" s="1"/>
      <c r="AN84" s="1"/>
    </row>
    <row r="159" spans="8:68">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1" spans="8:52">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3" spans="8:52">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5" spans="8:52">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7" spans="8:52">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sheetData>
  <sheetProtection password="D04C" sheet="1" objects="1" scenarios="1"/>
  <dataValidations count="5">
    <dataValidation type="decimal" showInputMessage="1" showErrorMessage="1" errorTitle="Percentage only" error="Enter a percentage value between 0 and 100%" sqref="F41:F43">
      <formula1>0</formula1>
      <formula2>1</formula2>
    </dataValidation>
    <dataValidation type="whole" allowBlank="1" showErrorMessage="1" errorTitle="Numbers only" error="Numbers only" sqref="D8">
      <formula1>0</formula1>
      <formula2>10000000</formula2>
    </dataValidation>
    <dataValidation allowBlank="1" showInputMessage="1" showErrorMessage="1" error="Please enter a number between only" sqref="D2"/>
    <dataValidation type="whole" allowBlank="1" showErrorMessage="1" errorTitle="Numbers only" error="Please enter a number between Year of Site Opening and the Current Year." sqref="D6">
      <formula1>D4</formula1>
      <formula2>D2</formula2>
    </dataValidation>
    <dataValidation type="whole" allowBlank="1" showInputMessage="1" showErrorMessage="1" errorTitle="Numbers only" error="Please enter a number between 1900 and the Current Year." sqref="D4">
      <formula1>1900</formula1>
      <formula2>D2</formula2>
    </dataValidation>
  </dataValidations>
  <pageMargins left="0.7" right="0.7" top="0.75" bottom="0.75" header="0.3" footer="0.3"/>
  <pageSetup paperSize="9" orientation="portrait" verticalDpi="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Data inputs</vt:lpstr>
      <vt:lpstr>Consolidated tables</vt:lpstr>
      <vt:lpstr>Sugden End example</vt:lpstr>
      <vt:lpstr>Docking 2 example</vt:lpstr>
      <vt:lpstr>Otterspool example</vt:lpstr>
      <vt:lpstr>Strumpshaw example</vt:lpstr>
      <vt:lpstr>Maesbury Road example</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ACUMEN Gas Estimation Tool</dc:title>
  <dc:creator>ACUMEN</dc:creator>
  <cp:lastModifiedBy>MAskin</cp:lastModifiedBy>
  <dcterms:created xsi:type="dcterms:W3CDTF">2014-10-07T11:57:19Z</dcterms:created>
  <dcterms:modified xsi:type="dcterms:W3CDTF">2015-08-14T09:58:05Z</dcterms:modified>
  <cp:contentStatus>FINAL (August 2015)</cp:contentStatus>
</cp:coreProperties>
</file>